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730" windowHeight="11760"/>
  </bookViews>
  <sheets>
    <sheet name="Sheet1" sheetId="1" r:id="rId1"/>
  </sheets>
  <definedNames>
    <definedName name="_xlnm._FilterDatabase" localSheetId="0" hidden="1">Sheet1!$B$10:$AD$101</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C62" i="1" l="1"/>
  <c r="R99" i="1"/>
  <c r="BC16" i="1"/>
  <c r="BC99" i="1" s="1"/>
  <c r="BC95" i="1"/>
  <c r="BC94" i="1"/>
  <c r="BC88" i="1"/>
  <c r="BC87" i="1"/>
  <c r="BC86" i="1"/>
  <c r="BC81" i="1"/>
  <c r="BC80" i="1"/>
  <c r="BC77" i="1"/>
  <c r="BC76" i="1"/>
  <c r="BC75" i="1"/>
  <c r="BC73" i="1"/>
  <c r="BC72" i="1"/>
  <c r="BC71" i="1"/>
  <c r="BC66" i="1"/>
  <c r="BC65" i="1"/>
  <c r="BC64" i="1"/>
  <c r="BC61" i="1"/>
  <c r="BC60" i="1"/>
  <c r="BC59" i="1"/>
  <c r="BC58" i="1"/>
  <c r="BC56" i="1"/>
  <c r="BC55" i="1"/>
  <c r="BC53" i="1"/>
  <c r="BC51" i="1"/>
  <c r="BC49" i="1"/>
  <c r="BC48" i="1"/>
  <c r="BC46" i="1"/>
  <c r="BC45" i="1"/>
  <c r="BC43" i="1"/>
  <c r="BC42" i="1"/>
  <c r="BC41" i="1"/>
  <c r="BC39" i="1"/>
  <c r="BC38" i="1"/>
  <c r="BC37" i="1"/>
  <c r="BC35" i="1"/>
  <c r="BC32" i="1"/>
  <c r="BC31" i="1"/>
  <c r="BC30" i="1"/>
  <c r="BC29" i="1"/>
  <c r="BC28" i="1"/>
  <c r="BC27" i="1"/>
  <c r="BC24" i="1"/>
  <c r="BC22" i="1"/>
  <c r="BC20" i="1"/>
  <c r="BC19" i="1"/>
  <c r="BC18" i="1"/>
  <c r="BB99" i="1" l="1"/>
  <c r="P99" i="1" l="1"/>
  <c r="N16" i="1"/>
  <c r="AY99" i="1"/>
  <c r="BA99" i="1"/>
  <c r="AZ99" i="1"/>
  <c r="BA95" i="1"/>
  <c r="BA94" i="1"/>
  <c r="BA88" i="1"/>
  <c r="BA87" i="1"/>
  <c r="BA86" i="1"/>
  <c r="BA81" i="1"/>
  <c r="BA80" i="1"/>
  <c r="BA77" i="1"/>
  <c r="BA76" i="1"/>
  <c r="BA75" i="1"/>
  <c r="BA73" i="1"/>
  <c r="BA72" i="1"/>
  <c r="BA71" i="1"/>
  <c r="BA66" i="1"/>
  <c r="BA65" i="1"/>
  <c r="BA64" i="1"/>
  <c r="BA62" i="1"/>
  <c r="BA58" i="1"/>
  <c r="BA56" i="1"/>
  <c r="BA55" i="1"/>
  <c r="BA53" i="1"/>
  <c r="BA51" i="1"/>
  <c r="BA49" i="1"/>
  <c r="BA46" i="1"/>
  <c r="BA45" i="1"/>
  <c r="BA43" i="1"/>
  <c r="BA42" i="1"/>
  <c r="BA41" i="1"/>
  <c r="BA35" i="1"/>
  <c r="BA32" i="1"/>
  <c r="BA31" i="1"/>
  <c r="BA30" i="1"/>
  <c r="BA29" i="1"/>
  <c r="BA24" i="1"/>
  <c r="BA22" i="1"/>
  <c r="BA20" i="1"/>
  <c r="BA19" i="1"/>
  <c r="BA18" i="1"/>
  <c r="BA16" i="1"/>
  <c r="W100" i="1" l="1"/>
  <c r="W97" i="1"/>
  <c r="W82" i="1"/>
  <c r="W67" i="1"/>
  <c r="N86" i="1"/>
  <c r="AV99" i="1"/>
  <c r="AU99" i="1"/>
  <c r="AM99" i="1"/>
  <c r="AJ97" i="1"/>
  <c r="AJ99" i="1" s="1"/>
  <c r="AG97" i="1"/>
  <c r="AG99" i="1" s="1"/>
  <c r="V96" i="1"/>
  <c r="U96" i="1"/>
  <c r="Z96" i="1" s="1"/>
  <c r="AB96" i="1" s="1"/>
  <c r="L96" i="1"/>
  <c r="K96" i="1"/>
  <c r="AI95" i="1"/>
  <c r="AH95" i="1"/>
  <c r="N95" i="1"/>
  <c r="M95" i="1"/>
  <c r="U95" i="1" s="1"/>
  <c r="L95" i="1"/>
  <c r="K95" i="1"/>
  <c r="AI94" i="1"/>
  <c r="AH94" i="1"/>
  <c r="V94" i="1"/>
  <c r="N94" i="1"/>
  <c r="M94" i="1"/>
  <c r="U94" i="1" s="1"/>
  <c r="Z94" i="1" s="1"/>
  <c r="AB94" i="1" s="1"/>
  <c r="L94" i="1"/>
  <c r="K94" i="1"/>
  <c r="AO93" i="1"/>
  <c r="AI93" i="1" s="1"/>
  <c r="AN93" i="1"/>
  <c r="Z92" i="1"/>
  <c r="AB92" i="1" s="1"/>
  <c r="V92" i="1"/>
  <c r="U92" i="1"/>
  <c r="W92" i="1" s="1"/>
  <c r="L92" i="1"/>
  <c r="K92" i="1"/>
  <c r="AI91" i="1"/>
  <c r="AH91" i="1"/>
  <c r="W91" i="1"/>
  <c r="V91" i="1"/>
  <c r="AA91" i="1" s="1"/>
  <c r="AC91" i="1" s="1"/>
  <c r="U91" i="1"/>
  <c r="Z91" i="1" s="1"/>
  <c r="AB91" i="1" s="1"/>
  <c r="L91" i="1"/>
  <c r="K91" i="1"/>
  <c r="V90" i="1"/>
  <c r="U90" i="1"/>
  <c r="W90" i="1" s="1"/>
  <c r="L90" i="1"/>
  <c r="K90" i="1"/>
  <c r="AO89" i="1"/>
  <c r="AN89" i="1"/>
  <c r="AH89" i="1" s="1"/>
  <c r="AI88" i="1"/>
  <c r="AH88" i="1"/>
  <c r="N88" i="1"/>
  <c r="V88" i="1" s="1"/>
  <c r="M88" i="1"/>
  <c r="U88" i="1" s="1"/>
  <c r="L88" i="1"/>
  <c r="K88" i="1"/>
  <c r="U87" i="1"/>
  <c r="W87" i="1" s="1"/>
  <c r="N87" i="1"/>
  <c r="V87" i="1" s="1"/>
  <c r="M87" i="1"/>
  <c r="L87" i="1"/>
  <c r="K87" i="1"/>
  <c r="AI86" i="1"/>
  <c r="AH86" i="1"/>
  <c r="V86" i="1"/>
  <c r="M86" i="1"/>
  <c r="U86" i="1" s="1"/>
  <c r="L86" i="1"/>
  <c r="K86" i="1"/>
  <c r="AO85" i="1"/>
  <c r="AI85" i="1" s="1"/>
  <c r="AN85" i="1"/>
  <c r="AH85" i="1" s="1"/>
  <c r="AI84" i="1"/>
  <c r="AH84" i="1"/>
  <c r="AJ82" i="1"/>
  <c r="AG82" i="1"/>
  <c r="N81" i="1"/>
  <c r="V81" i="1" s="1"/>
  <c r="M81" i="1"/>
  <c r="U81" i="1" s="1"/>
  <c r="L81" i="1"/>
  <c r="K81" i="1"/>
  <c r="N80" i="1"/>
  <c r="V80" i="1" s="1"/>
  <c r="M80" i="1"/>
  <c r="U80" i="1" s="1"/>
  <c r="L80" i="1"/>
  <c r="K80" i="1"/>
  <c r="AI79" i="1"/>
  <c r="AH79" i="1"/>
  <c r="W79" i="1"/>
  <c r="V79" i="1"/>
  <c r="U79" i="1"/>
  <c r="Z79" i="1" s="1"/>
  <c r="AB79" i="1" s="1"/>
  <c r="L79" i="1"/>
  <c r="K79" i="1"/>
  <c r="AO78" i="1"/>
  <c r="AN78" i="1"/>
  <c r="AI77" i="1"/>
  <c r="AH77" i="1"/>
  <c r="N77" i="1"/>
  <c r="V77" i="1" s="1"/>
  <c r="M77" i="1"/>
  <c r="U77" i="1" s="1"/>
  <c r="L77" i="1"/>
  <c r="K77" i="1"/>
  <c r="AI76" i="1"/>
  <c r="AH76" i="1"/>
  <c r="N76" i="1"/>
  <c r="V76" i="1" s="1"/>
  <c r="M76" i="1"/>
  <c r="U76" i="1" s="1"/>
  <c r="L76" i="1"/>
  <c r="K76" i="1"/>
  <c r="AI75" i="1"/>
  <c r="AH75" i="1"/>
  <c r="N75" i="1"/>
  <c r="V75" i="1" s="1"/>
  <c r="M75" i="1"/>
  <c r="U75" i="1" s="1"/>
  <c r="Z75" i="1" s="1"/>
  <c r="AB75" i="1" s="1"/>
  <c r="L75" i="1"/>
  <c r="K75" i="1"/>
  <c r="AO74" i="1"/>
  <c r="AN74" i="1"/>
  <c r="N73" i="1"/>
  <c r="V73" i="1" s="1"/>
  <c r="M73" i="1"/>
  <c r="U73" i="1" s="1"/>
  <c r="L73" i="1"/>
  <c r="K73" i="1"/>
  <c r="U72" i="1"/>
  <c r="N72" i="1"/>
  <c r="V72" i="1" s="1"/>
  <c r="M72" i="1"/>
  <c r="L72" i="1"/>
  <c r="K72" i="1"/>
  <c r="N71" i="1"/>
  <c r="V71" i="1" s="1"/>
  <c r="M71" i="1"/>
  <c r="U71" i="1" s="1"/>
  <c r="W71" i="1" s="1"/>
  <c r="L71" i="1"/>
  <c r="K71" i="1"/>
  <c r="AO70" i="1"/>
  <c r="AI70" i="1" s="1"/>
  <c r="AN70" i="1"/>
  <c r="AH70" i="1"/>
  <c r="AI69" i="1"/>
  <c r="AH69" i="1"/>
  <c r="AJ67" i="1"/>
  <c r="AG67" i="1"/>
  <c r="N66" i="1"/>
  <c r="V66" i="1" s="1"/>
  <c r="M66" i="1"/>
  <c r="U66" i="1" s="1"/>
  <c r="L66" i="1"/>
  <c r="K66" i="1"/>
  <c r="V65" i="1"/>
  <c r="N65" i="1"/>
  <c r="M65" i="1"/>
  <c r="U65" i="1" s="1"/>
  <c r="L65" i="1"/>
  <c r="K65" i="1"/>
  <c r="AI64" i="1"/>
  <c r="AH64" i="1"/>
  <c r="U64" i="1"/>
  <c r="N64" i="1"/>
  <c r="V64" i="1" s="1"/>
  <c r="M64" i="1"/>
  <c r="L64" i="1"/>
  <c r="K64" i="1"/>
  <c r="AO63" i="1"/>
  <c r="AN63" i="1"/>
  <c r="AH63" i="1" s="1"/>
  <c r="N62" i="1"/>
  <c r="V62" i="1" s="1"/>
  <c r="AA62" i="1" s="1"/>
  <c r="AC62" i="1" s="1"/>
  <c r="M62" i="1"/>
  <c r="U62" i="1" s="1"/>
  <c r="L62" i="1"/>
  <c r="K62" i="1"/>
  <c r="AI61" i="1"/>
  <c r="AH61" i="1"/>
  <c r="V61" i="1"/>
  <c r="U61" i="1"/>
  <c r="Z61" i="1" s="1"/>
  <c r="AB61" i="1" s="1"/>
  <c r="L61" i="1"/>
  <c r="K61" i="1"/>
  <c r="AI60" i="1"/>
  <c r="AH60" i="1"/>
  <c r="V60" i="1"/>
  <c r="AA60" i="1" s="1"/>
  <c r="AC60" i="1" s="1"/>
  <c r="U60" i="1"/>
  <c r="L60" i="1"/>
  <c r="K60" i="1"/>
  <c r="W59" i="1"/>
  <c r="V59" i="1"/>
  <c r="U59" i="1"/>
  <c r="Z59" i="1" s="1"/>
  <c r="AB59" i="1" s="1"/>
  <c r="L59" i="1"/>
  <c r="K59" i="1"/>
  <c r="AI58" i="1"/>
  <c r="AH58" i="1"/>
  <c r="N58" i="1"/>
  <c r="V58" i="1" s="1"/>
  <c r="M58" i="1"/>
  <c r="U58" i="1" s="1"/>
  <c r="L58" i="1"/>
  <c r="K58" i="1"/>
  <c r="AO57" i="1"/>
  <c r="AI57" i="1" s="1"/>
  <c r="AN57" i="1"/>
  <c r="K57" i="1" s="1"/>
  <c r="N56" i="1"/>
  <c r="V56" i="1" s="1"/>
  <c r="Y56" i="1" s="1"/>
  <c r="M56" i="1"/>
  <c r="U56" i="1" s="1"/>
  <c r="L56" i="1"/>
  <c r="K56" i="1"/>
  <c r="AI55" i="1"/>
  <c r="AH55" i="1"/>
  <c r="N55" i="1"/>
  <c r="V55" i="1" s="1"/>
  <c r="M55" i="1"/>
  <c r="U55" i="1" s="1"/>
  <c r="W55" i="1" s="1"/>
  <c r="L55" i="1"/>
  <c r="K55" i="1"/>
  <c r="AO54" i="1"/>
  <c r="AN54" i="1"/>
  <c r="AH54" i="1" s="1"/>
  <c r="AI54" i="1"/>
  <c r="N53" i="1"/>
  <c r="V53" i="1" s="1"/>
  <c r="M53" i="1"/>
  <c r="U53" i="1" s="1"/>
  <c r="L53" i="1"/>
  <c r="K53" i="1"/>
  <c r="V52" i="1"/>
  <c r="AA52" i="1" s="1"/>
  <c r="AC52" i="1" s="1"/>
  <c r="U52" i="1"/>
  <c r="Z52" i="1" s="1"/>
  <c r="AB52" i="1" s="1"/>
  <c r="L52" i="1"/>
  <c r="N51" i="1"/>
  <c r="V51" i="1" s="1"/>
  <c r="M51" i="1"/>
  <c r="U51" i="1" s="1"/>
  <c r="L51" i="1"/>
  <c r="K51" i="1"/>
  <c r="AO50" i="1"/>
  <c r="AI50" i="1" s="1"/>
  <c r="AN50" i="1"/>
  <c r="K50" i="1" s="1"/>
  <c r="AI49" i="1"/>
  <c r="AH49" i="1"/>
  <c r="N49" i="1"/>
  <c r="V49" i="1" s="1"/>
  <c r="M49" i="1"/>
  <c r="U49" i="1" s="1"/>
  <c r="L49" i="1"/>
  <c r="K49" i="1"/>
  <c r="AI48" i="1"/>
  <c r="AH48" i="1"/>
  <c r="V48" i="1"/>
  <c r="AA48" i="1" s="1"/>
  <c r="AC48" i="1" s="1"/>
  <c r="U48" i="1"/>
  <c r="Z48" i="1" s="1"/>
  <c r="AB48" i="1" s="1"/>
  <c r="L48" i="1"/>
  <c r="K48" i="1"/>
  <c r="AI47" i="1"/>
  <c r="AH47" i="1"/>
  <c r="V47" i="1"/>
  <c r="AA47" i="1" s="1"/>
  <c r="AC47" i="1" s="1"/>
  <c r="U47" i="1"/>
  <c r="Z47" i="1" s="1"/>
  <c r="AB47" i="1" s="1"/>
  <c r="L47" i="1"/>
  <c r="K47" i="1"/>
  <c r="X47" i="1" s="1"/>
  <c r="AI46" i="1"/>
  <c r="AH46" i="1"/>
  <c r="U46" i="1"/>
  <c r="N46" i="1"/>
  <c r="V46" i="1" s="1"/>
  <c r="M46" i="1"/>
  <c r="L46" i="1"/>
  <c r="K46" i="1"/>
  <c r="AI45" i="1"/>
  <c r="AH45" i="1"/>
  <c r="N45" i="1"/>
  <c r="V45" i="1" s="1"/>
  <c r="M45" i="1"/>
  <c r="U45" i="1" s="1"/>
  <c r="L45" i="1"/>
  <c r="K45" i="1"/>
  <c r="AO44" i="1"/>
  <c r="AI44" i="1" s="1"/>
  <c r="AN44" i="1"/>
  <c r="K44" i="1" s="1"/>
  <c r="AI43" i="1"/>
  <c r="AH43" i="1"/>
  <c r="N43" i="1"/>
  <c r="V43" i="1" s="1"/>
  <c r="M43" i="1"/>
  <c r="U43" i="1" s="1"/>
  <c r="W43" i="1" s="1"/>
  <c r="L43" i="1"/>
  <c r="K43" i="1"/>
  <c r="AI42" i="1"/>
  <c r="AH42" i="1"/>
  <c r="N42" i="1"/>
  <c r="V42" i="1" s="1"/>
  <c r="AA42" i="1" s="1"/>
  <c r="AC42" i="1" s="1"/>
  <c r="M42" i="1"/>
  <c r="U42" i="1" s="1"/>
  <c r="L42" i="1"/>
  <c r="K42" i="1"/>
  <c r="AI41" i="1"/>
  <c r="AH41" i="1"/>
  <c r="N41" i="1"/>
  <c r="V41" i="1" s="1"/>
  <c r="M41" i="1"/>
  <c r="U41" i="1" s="1"/>
  <c r="Z41" i="1" s="1"/>
  <c r="AB41" i="1" s="1"/>
  <c r="L41" i="1"/>
  <c r="K41" i="1"/>
  <c r="AO40" i="1"/>
  <c r="AI40" i="1" s="1"/>
  <c r="AN40" i="1"/>
  <c r="AI39" i="1"/>
  <c r="AH39" i="1"/>
  <c r="V39" i="1"/>
  <c r="U39" i="1"/>
  <c r="W39" i="1" s="1"/>
  <c r="L39" i="1"/>
  <c r="K39" i="1"/>
  <c r="U38" i="1"/>
  <c r="N38" i="1"/>
  <c r="AC38" i="1" s="1"/>
  <c r="M38" i="1"/>
  <c r="L38" i="1"/>
  <c r="K38" i="1"/>
  <c r="U37" i="1"/>
  <c r="W37" i="1" s="1"/>
  <c r="L37" i="1"/>
  <c r="K37" i="1"/>
  <c r="AI36" i="1"/>
  <c r="AH36" i="1"/>
  <c r="V36" i="1"/>
  <c r="AA36" i="1" s="1"/>
  <c r="AC36" i="1" s="1"/>
  <c r="U36" i="1"/>
  <c r="Z36" i="1" s="1"/>
  <c r="AB36" i="1" s="1"/>
  <c r="L36" i="1"/>
  <c r="K36" i="1"/>
  <c r="AI35" i="1"/>
  <c r="AH35" i="1"/>
  <c r="N35" i="1"/>
  <c r="V35" i="1" s="1"/>
  <c r="M35" i="1"/>
  <c r="U35" i="1" s="1"/>
  <c r="Z35" i="1" s="1"/>
  <c r="AB35" i="1" s="1"/>
  <c r="L35" i="1"/>
  <c r="K35" i="1"/>
  <c r="AI34" i="1"/>
  <c r="AH34" i="1"/>
  <c r="V34" i="1"/>
  <c r="AA34" i="1" s="1"/>
  <c r="AC34" i="1" s="1"/>
  <c r="U34" i="1"/>
  <c r="Z34" i="1" s="1"/>
  <c r="AB34" i="1" s="1"/>
  <c r="L34" i="1"/>
  <c r="K34" i="1"/>
  <c r="AO33" i="1"/>
  <c r="AI33" i="1" s="1"/>
  <c r="AN33" i="1"/>
  <c r="K33" i="1" s="1"/>
  <c r="AI32" i="1"/>
  <c r="AH32" i="1"/>
  <c r="V32" i="1"/>
  <c r="N32" i="1"/>
  <c r="M32" i="1"/>
  <c r="U32" i="1" s="1"/>
  <c r="Z32" i="1" s="1"/>
  <c r="AB32" i="1" s="1"/>
  <c r="L32" i="1"/>
  <c r="K32" i="1"/>
  <c r="AI31" i="1"/>
  <c r="AH31" i="1"/>
  <c r="V31" i="1"/>
  <c r="U31" i="1"/>
  <c r="W31" i="1" s="1"/>
  <c r="N31" i="1"/>
  <c r="M31" i="1"/>
  <c r="L31" i="1"/>
  <c r="K31" i="1"/>
  <c r="AI30" i="1"/>
  <c r="AH30" i="1"/>
  <c r="N30" i="1"/>
  <c r="V30" i="1" s="1"/>
  <c r="AA30" i="1" s="1"/>
  <c r="AC30" i="1" s="1"/>
  <c r="M30" i="1"/>
  <c r="U30" i="1" s="1"/>
  <c r="L30" i="1"/>
  <c r="K30" i="1"/>
  <c r="AI29" i="1"/>
  <c r="AH29" i="1"/>
  <c r="N29" i="1"/>
  <c r="V29" i="1" s="1"/>
  <c r="Y29" i="1" s="1"/>
  <c r="M29" i="1"/>
  <c r="U29" i="1" s="1"/>
  <c r="Z29" i="1" s="1"/>
  <c r="AB29" i="1" s="1"/>
  <c r="L29" i="1"/>
  <c r="K29" i="1"/>
  <c r="AI28" i="1"/>
  <c r="AH28" i="1"/>
  <c r="V28" i="1"/>
  <c r="AA28" i="1" s="1"/>
  <c r="AC28" i="1" s="1"/>
  <c r="U28" i="1"/>
  <c r="Z28" i="1" s="1"/>
  <c r="AB28" i="1" s="1"/>
  <c r="L28" i="1"/>
  <c r="K28" i="1"/>
  <c r="AI27" i="1"/>
  <c r="AH27" i="1"/>
  <c r="Z27" i="1"/>
  <c r="AB27" i="1" s="1"/>
  <c r="V27" i="1"/>
  <c r="AA27" i="1" s="1"/>
  <c r="AC27" i="1" s="1"/>
  <c r="U27" i="1"/>
  <c r="W27" i="1" s="1"/>
  <c r="L27" i="1"/>
  <c r="K27" i="1"/>
  <c r="AO26" i="1"/>
  <c r="AN26" i="1"/>
  <c r="AH26" i="1" s="1"/>
  <c r="AI26" i="1"/>
  <c r="K26" i="1"/>
  <c r="AI25" i="1"/>
  <c r="AH25" i="1"/>
  <c r="V25" i="1"/>
  <c r="AA25" i="1" s="1"/>
  <c r="AC25" i="1" s="1"/>
  <c r="U25" i="1"/>
  <c r="Z25" i="1" s="1"/>
  <c r="AB25" i="1" s="1"/>
  <c r="L25" i="1"/>
  <c r="K25" i="1"/>
  <c r="N24" i="1"/>
  <c r="AC24" i="1" s="1"/>
  <c r="M24" i="1"/>
  <c r="U24" i="1" s="1"/>
  <c r="W24" i="1" s="1"/>
  <c r="L24" i="1"/>
  <c r="K24" i="1"/>
  <c r="AO23" i="1"/>
  <c r="AN23" i="1"/>
  <c r="AI22" i="1"/>
  <c r="AH22" i="1"/>
  <c r="N22" i="1"/>
  <c r="V22" i="1" s="1"/>
  <c r="M22" i="1"/>
  <c r="U22" i="1" s="1"/>
  <c r="W22" i="1" s="1"/>
  <c r="L22" i="1"/>
  <c r="K22" i="1"/>
  <c r="AO21" i="1"/>
  <c r="AI21" i="1" s="1"/>
  <c r="AN21" i="1"/>
  <c r="K21" i="1" s="1"/>
  <c r="V20" i="1"/>
  <c r="N20" i="1"/>
  <c r="M20" i="1"/>
  <c r="U20" i="1" s="1"/>
  <c r="L20" i="1"/>
  <c r="K20" i="1"/>
  <c r="AI19" i="1"/>
  <c r="AH19" i="1"/>
  <c r="N19" i="1"/>
  <c r="V19" i="1" s="1"/>
  <c r="AA19" i="1" s="1"/>
  <c r="AC19" i="1" s="1"/>
  <c r="M19" i="1"/>
  <c r="U19" i="1" s="1"/>
  <c r="L19" i="1"/>
  <c r="K19" i="1"/>
  <c r="AI18" i="1"/>
  <c r="AH18" i="1"/>
  <c r="N18" i="1"/>
  <c r="V18" i="1" s="1"/>
  <c r="AA18" i="1" s="1"/>
  <c r="AC18" i="1" s="1"/>
  <c r="M18" i="1"/>
  <c r="U18" i="1" s="1"/>
  <c r="Z18" i="1" s="1"/>
  <c r="AB18" i="1" s="1"/>
  <c r="L18" i="1"/>
  <c r="K18" i="1"/>
  <c r="AO17" i="1"/>
  <c r="AI17" i="1" s="1"/>
  <c r="AN17" i="1"/>
  <c r="AI16" i="1"/>
  <c r="AH16" i="1"/>
  <c r="V16" i="1"/>
  <c r="AA16" i="1" s="1"/>
  <c r="AC16" i="1" s="1"/>
  <c r="M16" i="1"/>
  <c r="U16" i="1" s="1"/>
  <c r="L16" i="1"/>
  <c r="K16" i="1"/>
  <c r="AO15" i="1"/>
  <c r="AN15" i="1"/>
  <c r="AI14" i="1"/>
  <c r="AH14" i="1"/>
  <c r="AI13" i="1"/>
  <c r="AH13" i="1"/>
  <c r="AI12" i="1"/>
  <c r="AH12" i="1"/>
  <c r="Y30" i="1" l="1"/>
  <c r="X81" i="1"/>
  <c r="Y72" i="1"/>
  <c r="X59" i="1"/>
  <c r="W34" i="1"/>
  <c r="Y38" i="1"/>
  <c r="X76" i="1"/>
  <c r="W96" i="1"/>
  <c r="K54" i="1"/>
  <c r="W75" i="1"/>
  <c r="Y77" i="1"/>
  <c r="X25" i="1"/>
  <c r="X45" i="1"/>
  <c r="X60" i="1"/>
  <c r="Y35" i="1"/>
  <c r="Y61" i="1"/>
  <c r="X62" i="1"/>
  <c r="AH82" i="1"/>
  <c r="AK82" i="1" s="1"/>
  <c r="Y86" i="1"/>
  <c r="Y41" i="1"/>
  <c r="AH21" i="1"/>
  <c r="X27" i="1"/>
  <c r="W35" i="1"/>
  <c r="W41" i="1"/>
  <c r="W47" i="1"/>
  <c r="Y59" i="1"/>
  <c r="Y66" i="1"/>
  <c r="Y79" i="1"/>
  <c r="Y94" i="1"/>
  <c r="Y96" i="1"/>
  <c r="Y75" i="1"/>
  <c r="AA75" i="1"/>
  <c r="AC75" i="1" s="1"/>
  <c r="W20" i="1"/>
  <c r="Z20" i="1"/>
  <c r="AB20" i="1" s="1"/>
  <c r="W65" i="1"/>
  <c r="Z65" i="1"/>
  <c r="AB65" i="1" s="1"/>
  <c r="W53" i="1"/>
  <c r="Z53" i="1"/>
  <c r="AB53" i="1" s="1"/>
  <c r="Y18" i="1"/>
  <c r="X19" i="1"/>
  <c r="Y25" i="1"/>
  <c r="W28" i="1"/>
  <c r="W29" i="1"/>
  <c r="Z31" i="1"/>
  <c r="AB31" i="1" s="1"/>
  <c r="AH33" i="1"/>
  <c r="X35" i="1"/>
  <c r="W36" i="1"/>
  <c r="Z39" i="1"/>
  <c r="AB39" i="1" s="1"/>
  <c r="X41" i="1"/>
  <c r="Y48" i="1"/>
  <c r="Y51" i="1"/>
  <c r="Y52" i="1"/>
  <c r="Z55" i="1"/>
  <c r="AB55" i="1" s="1"/>
  <c r="Y60" i="1"/>
  <c r="X61" i="1"/>
  <c r="W61" i="1"/>
  <c r="AI82" i="1"/>
  <c r="AL82" i="1" s="1"/>
  <c r="X79" i="1"/>
  <c r="AA96" i="1"/>
  <c r="AC96" i="1" s="1"/>
  <c r="Y19" i="1"/>
  <c r="Z22" i="1"/>
  <c r="AB22" i="1" s="1"/>
  <c r="W25" i="1"/>
  <c r="X29" i="1"/>
  <c r="AA35" i="1"/>
  <c r="AC35" i="1" s="1"/>
  <c r="Z37" i="1"/>
  <c r="AB37" i="1" s="1"/>
  <c r="AA41" i="1"/>
  <c r="AC41" i="1" s="1"/>
  <c r="Y42" i="1"/>
  <c r="W48" i="1"/>
  <c r="W52" i="1"/>
  <c r="AH57" i="1"/>
  <c r="AH67" i="1" s="1"/>
  <c r="AK67" i="1" s="1"/>
  <c r="AA59" i="1"/>
  <c r="AC59" i="1" s="1"/>
  <c r="Z71" i="1"/>
  <c r="AB71" i="1" s="1"/>
  <c r="AN82" i="1"/>
  <c r="Y80" i="1"/>
  <c r="Z87" i="1"/>
  <c r="AB87" i="1" s="1"/>
  <c r="Y88" i="1"/>
  <c r="Z90" i="1"/>
  <c r="AB90" i="1" s="1"/>
  <c r="Y91" i="1"/>
  <c r="Y20" i="1"/>
  <c r="AA29" i="1"/>
  <c r="AC29" i="1" s="1"/>
  <c r="AH50" i="1"/>
  <c r="AR54" i="1"/>
  <c r="AA61" i="1"/>
  <c r="AC61" i="1" s="1"/>
  <c r="AO82" i="1"/>
  <c r="AA79" i="1"/>
  <c r="AC79" i="1" s="1"/>
  <c r="AA94" i="1"/>
  <c r="AC94" i="1" s="1"/>
  <c r="W16" i="1"/>
  <c r="Z16" i="1"/>
  <c r="W19" i="1"/>
  <c r="Z19" i="1"/>
  <c r="AB19" i="1" s="1"/>
  <c r="X22" i="1"/>
  <c r="AA22" i="1"/>
  <c r="AC22" i="1" s="1"/>
  <c r="Y55" i="1"/>
  <c r="X55" i="1"/>
  <c r="AA55" i="1"/>
  <c r="AC55" i="1" s="1"/>
  <c r="W95" i="1"/>
  <c r="Z95" i="1"/>
  <c r="AB95" i="1" s="1"/>
  <c r="Y22" i="1"/>
  <c r="W32" i="1"/>
  <c r="Y36" i="1"/>
  <c r="X36" i="1"/>
  <c r="AA45" i="1"/>
  <c r="AC45" i="1" s="1"/>
  <c r="Y45" i="1"/>
  <c r="X46" i="1"/>
  <c r="AA46" i="1"/>
  <c r="AC46" i="1" s="1"/>
  <c r="W49" i="1"/>
  <c r="Z49" i="1"/>
  <c r="AB49" i="1" s="1"/>
  <c r="W51" i="1"/>
  <c r="Z51" i="1"/>
  <c r="AB51" i="1" s="1"/>
  <c r="W86" i="1"/>
  <c r="Z86" i="1"/>
  <c r="AI89" i="1"/>
  <c r="AI97" i="1" s="1"/>
  <c r="AI99" i="1" s="1"/>
  <c r="AO97" i="1"/>
  <c r="Y90" i="1"/>
  <c r="X90" i="1"/>
  <c r="AA90" i="1"/>
  <c r="AC90" i="1" s="1"/>
  <c r="AH17" i="1"/>
  <c r="K17" i="1"/>
  <c r="X20" i="1"/>
  <c r="AA20" i="1"/>
  <c r="AC20" i="1" s="1"/>
  <c r="Z24" i="1"/>
  <c r="AB24" i="1" s="1"/>
  <c r="W45" i="1"/>
  <c r="Z45" i="1"/>
  <c r="AB45" i="1" s="1"/>
  <c r="X56" i="1"/>
  <c r="AA56" i="1"/>
  <c r="AC56" i="1" s="1"/>
  <c r="W77" i="1"/>
  <c r="Z77" i="1"/>
  <c r="AB77" i="1" s="1"/>
  <c r="W18" i="1"/>
  <c r="Y24" i="1"/>
  <c r="X24" i="1"/>
  <c r="Y28" i="1"/>
  <c r="X28" i="1"/>
  <c r="W30" i="1"/>
  <c r="Z30" i="1"/>
  <c r="AB30" i="1" s="1"/>
  <c r="X31" i="1"/>
  <c r="AA31" i="1"/>
  <c r="AC31" i="1" s="1"/>
  <c r="Y34" i="1"/>
  <c r="X34" i="1"/>
  <c r="X37" i="1"/>
  <c r="AC37" i="1"/>
  <c r="W38" i="1"/>
  <c r="Z38" i="1"/>
  <c r="AB38" i="1" s="1"/>
  <c r="X39" i="1"/>
  <c r="AA39" i="1"/>
  <c r="AC39" i="1" s="1"/>
  <c r="K40" i="1"/>
  <c r="AH40" i="1"/>
  <c r="W42" i="1"/>
  <c r="Z42" i="1"/>
  <c r="AB42" i="1" s="1"/>
  <c r="Y43" i="1"/>
  <c r="X43" i="1"/>
  <c r="AA43" i="1"/>
  <c r="AC43" i="1" s="1"/>
  <c r="W46" i="1"/>
  <c r="Z46" i="1"/>
  <c r="AB46" i="1" s="1"/>
  <c r="Y47" i="1"/>
  <c r="AA49" i="1"/>
  <c r="AC49" i="1" s="1"/>
  <c r="Y49" i="1"/>
  <c r="AA58" i="1"/>
  <c r="AC58" i="1" s="1"/>
  <c r="Y58" i="1"/>
  <c r="X58" i="1"/>
  <c r="AO67" i="1"/>
  <c r="AQ99" i="1" s="1"/>
  <c r="AI63" i="1"/>
  <c r="AI67" i="1" s="1"/>
  <c r="AL67" i="1" s="1"/>
  <c r="AA64" i="1"/>
  <c r="AC64" i="1" s="1"/>
  <c r="Y64" i="1"/>
  <c r="X64" i="1"/>
  <c r="W80" i="1"/>
  <c r="Z80" i="1"/>
  <c r="AB80" i="1" s="1"/>
  <c r="Y32" i="1"/>
  <c r="X32" i="1"/>
  <c r="X51" i="1"/>
  <c r="AA51" i="1"/>
  <c r="AC51" i="1" s="1"/>
  <c r="Y16" i="1"/>
  <c r="X16" i="1"/>
  <c r="X18" i="1"/>
  <c r="Y27" i="1"/>
  <c r="X30" i="1"/>
  <c r="Y31" i="1"/>
  <c r="AA32" i="1"/>
  <c r="AC32" i="1" s="1"/>
  <c r="Y37" i="1"/>
  <c r="X38" i="1"/>
  <c r="Y39" i="1"/>
  <c r="X42" i="1"/>
  <c r="Z43" i="1"/>
  <c r="AB43" i="1" s="1"/>
  <c r="Y46" i="1"/>
  <c r="X49" i="1"/>
  <c r="AW49" i="1"/>
  <c r="Y53" i="1"/>
  <c r="X53" i="1"/>
  <c r="AA53" i="1"/>
  <c r="AC53" i="1" s="1"/>
  <c r="Z56" i="1"/>
  <c r="AB56" i="1" s="1"/>
  <c r="W56" i="1"/>
  <c r="Y71" i="1"/>
  <c r="X71" i="1"/>
  <c r="AA71" i="1"/>
  <c r="AC71" i="1" s="1"/>
  <c r="AA73" i="1"/>
  <c r="AC73" i="1" s="1"/>
  <c r="Y73" i="1"/>
  <c r="X73" i="1"/>
  <c r="W88" i="1"/>
  <c r="Z88" i="1"/>
  <c r="AB88" i="1" s="1"/>
  <c r="AH44" i="1"/>
  <c r="X48" i="1"/>
  <c r="X52" i="1"/>
  <c r="W58" i="1"/>
  <c r="Z58" i="1"/>
  <c r="AB58" i="1" s="1"/>
  <c r="Y62" i="1"/>
  <c r="W64" i="1"/>
  <c r="Z64" i="1"/>
  <c r="AB64" i="1" s="1"/>
  <c r="Y65" i="1"/>
  <c r="X65" i="1"/>
  <c r="AA65" i="1"/>
  <c r="AC65" i="1" s="1"/>
  <c r="X72" i="1"/>
  <c r="AA72" i="1"/>
  <c r="AC72" i="1" s="1"/>
  <c r="W81" i="1"/>
  <c r="Z81" i="1"/>
  <c r="AB81" i="1" s="1"/>
  <c r="N99" i="1"/>
  <c r="V95" i="1"/>
  <c r="X66" i="1"/>
  <c r="AA66" i="1"/>
  <c r="AC66" i="1" s="1"/>
  <c r="W72" i="1"/>
  <c r="Z72" i="1"/>
  <c r="AB72" i="1" s="1"/>
  <c r="W76" i="1"/>
  <c r="Z76" i="1"/>
  <c r="AB76" i="1" s="1"/>
  <c r="AA81" i="1"/>
  <c r="AC81" i="1" s="1"/>
  <c r="Y81" i="1"/>
  <c r="Y87" i="1"/>
  <c r="X87" i="1"/>
  <c r="AA87" i="1"/>
  <c r="AC87" i="1" s="1"/>
  <c r="Y92" i="1"/>
  <c r="X92" i="1"/>
  <c r="AA92" i="1"/>
  <c r="AC92" i="1" s="1"/>
  <c r="W94" i="1"/>
  <c r="K99" i="1"/>
  <c r="X96" i="1"/>
  <c r="W60" i="1"/>
  <c r="Z60" i="1"/>
  <c r="AB60" i="1" s="1"/>
  <c r="W62" i="1"/>
  <c r="Z62" i="1"/>
  <c r="AB62" i="1" s="1"/>
  <c r="AN67" i="1"/>
  <c r="W66" i="1"/>
  <c r="Z66" i="1"/>
  <c r="AB66" i="1" s="1"/>
  <c r="W73" i="1"/>
  <c r="Z73" i="1"/>
  <c r="AB73" i="1" s="1"/>
  <c r="AA76" i="1"/>
  <c r="AC76" i="1" s="1"/>
  <c r="Y76" i="1"/>
  <c r="X77" i="1"/>
  <c r="AA77" i="1"/>
  <c r="AC77" i="1" s="1"/>
  <c r="X80" i="1"/>
  <c r="AA80" i="1"/>
  <c r="AC80" i="1" s="1"/>
  <c r="X86" i="1"/>
  <c r="AA86" i="1"/>
  <c r="AC86" i="1" s="1"/>
  <c r="X88" i="1"/>
  <c r="AA88" i="1"/>
  <c r="AC88" i="1" s="1"/>
  <c r="AN97" i="1"/>
  <c r="AN98" i="1" s="1"/>
  <c r="AH93" i="1"/>
  <c r="AH97" i="1" s="1"/>
  <c r="L99" i="1"/>
  <c r="K63" i="1"/>
  <c r="X75" i="1"/>
  <c r="X91" i="1"/>
  <c r="X94" i="1"/>
  <c r="W83" i="1" l="1"/>
  <c r="AC82" i="1"/>
  <c r="AC83" i="1" s="1"/>
  <c r="AC67" i="1"/>
  <c r="AC68" i="1" s="1"/>
  <c r="AB82" i="1"/>
  <c r="AB83" i="1" s="1"/>
  <c r="AH99" i="1"/>
  <c r="AK97" i="1"/>
  <c r="AK99" i="1" s="1"/>
  <c r="AL97" i="1"/>
  <c r="AL99" i="1" s="1"/>
  <c r="X82" i="1"/>
  <c r="X83" i="1" s="1"/>
  <c r="X67" i="1"/>
  <c r="X68" i="1" s="1"/>
  <c r="AB86" i="1"/>
  <c r="AB97" i="1" s="1"/>
  <c r="Z97" i="1"/>
  <c r="AA95" i="1"/>
  <c r="AC95" i="1" s="1"/>
  <c r="AC97" i="1" s="1"/>
  <c r="Y95" i="1"/>
  <c r="Y97" i="1" s="1"/>
  <c r="V99" i="1"/>
  <c r="AW99" i="1" s="1"/>
  <c r="X95" i="1"/>
  <c r="X97" i="1" s="1"/>
  <c r="Y82" i="1"/>
  <c r="Y83" i="1" s="1"/>
  <c r="Y67" i="1"/>
  <c r="Y68" i="1" s="1"/>
  <c r="Z67" i="1"/>
  <c r="Z68" i="1" s="1"/>
  <c r="AB16" i="1"/>
  <c r="AB67" i="1" s="1"/>
  <c r="AB68" i="1" s="1"/>
  <c r="Z82" i="1"/>
  <c r="Z83" i="1" s="1"/>
  <c r="AO98" i="1"/>
  <c r="W68" i="1"/>
  <c r="X98" i="1" l="1"/>
  <c r="X100" i="1"/>
  <c r="X101" i="1" s="1"/>
  <c r="Y98" i="1"/>
  <c r="Y100" i="1"/>
  <c r="Y101" i="1" s="1"/>
  <c r="W98" i="1"/>
  <c r="W101" i="1"/>
  <c r="AC98" i="1"/>
  <c r="AC100" i="1"/>
  <c r="AC101" i="1" s="1"/>
  <c r="AB98" i="1"/>
  <c r="AB100" i="1"/>
  <c r="AB101" i="1" s="1"/>
  <c r="Z100" i="1"/>
  <c r="Z101" i="1" s="1"/>
  <c r="Z98" i="1"/>
</calcChain>
</file>

<file path=xl/sharedStrings.xml><?xml version="1.0" encoding="utf-8"?>
<sst xmlns="http://schemas.openxmlformats.org/spreadsheetml/2006/main" count="641" uniqueCount="301">
  <si>
    <t>SEKRETARIAT DAERAH KAB. BULUKUMBA</t>
  </si>
  <si>
    <t>UNSUR PENDUKUNG URUSAN PEMERINTAHAN</t>
  </si>
  <si>
    <t>Setda</t>
  </si>
  <si>
    <t>APBD Kab</t>
  </si>
  <si>
    <t>X</t>
  </si>
  <si>
    <t>4.01</t>
  </si>
  <si>
    <t>SEKRETARIAT DAERAH</t>
  </si>
  <si>
    <t>4,01,01</t>
  </si>
  <si>
    <t>PROGRAM PENUNJANG URUSAN PEMERINTAHAN DAERAH KABUPATEN/KOTA</t>
  </si>
  <si>
    <t>Persentase ASN Perangkat Daerah Berkinerja Kategori Baik dan Sangat Baik (Sekretariat Daerah)</t>
  </si>
  <si>
    <t>%</t>
  </si>
  <si>
    <t>4.01.01.2.01</t>
  </si>
  <si>
    <t>Perencanaan, Penganggaran, dan Evaluasi Kinerja Perangkat Daerah</t>
  </si>
  <si>
    <t>Meningkatnya pelaksanaan pelayanan administrasi perkantoran, sarana dan prasarana aparatur, disiplin aparatur, kapasitas sumber daya aparatur, serta kualitas capaian laporan kinerja dan keuangan
Meningkatnya pelaksanaan pelayanan Administrasi perkantoran,sarana dan Prasarana aparatur, kapasitas sumber daya aparatur, serta kualitas capaian laporan kinerja dan keuangan</t>
  </si>
  <si>
    <t>100 %
100</t>
  </si>
  <si>
    <t>4.01.01.2.01.0001</t>
  </si>
  <si>
    <t>Penyusunan Dokumen Perencanaan Perangkat Daerah</t>
  </si>
  <si>
    <t>Jumlah Dokumen Perencanaan Perangkat Daerah</t>
  </si>
  <si>
    <t>Dokumen</t>
  </si>
  <si>
    <t>4.01.01.2.02</t>
  </si>
  <si>
    <t>Administrasi Keuangan Perangkat Daerah</t>
  </si>
  <si>
    <t>Meningkatnya pelaksanaan pelayanan administrasi perkantoran, sarana dan prasarana aparatur, disiplin aparatur, kapasitas sumber daya aparatur, serta kualitas capaian laporan kinerja dan keuangan
Terlaksananya Administrasi keuangan dan Perangkat daerah</t>
  </si>
  <si>
    <t>4.01.01.2.02.0001</t>
  </si>
  <si>
    <t>Penyediaan Gaji dan Tunjangan ASN</t>
  </si>
  <si>
    <t>Jumlah Orang yang Menerima Gaji dan Tunjangan ASN</t>
  </si>
  <si>
    <t>4.01.01.2.02.0003</t>
  </si>
  <si>
    <t>Pelaksanaan Penatausahaan dan Pengujian/Verifikasi Keuangan SKPD</t>
  </si>
  <si>
    <t>Jumlah Dokumen Penatausahaan dan Pengujian/Verifikasi Keuangan SKPD</t>
  </si>
  <si>
    <t>4.01.01.2.02.0007</t>
  </si>
  <si>
    <t>Koordinasi dan Penyusunan Laporan Keuangan Bulanan/ Triwulanan/ Semesteran SKPD</t>
  </si>
  <si>
    <t>Jumlah Laporan Keuangan Bulanan/ Triwulanan/ Semesteran SKPD dan Laporan Koordinasi Penyusunan Laporan Keuangan Bulanan/Triwulana n/Semesteran SKPD</t>
  </si>
  <si>
    <t>Laporan</t>
  </si>
  <si>
    <t>4.01.01.2.03</t>
  </si>
  <si>
    <t>Administrasi Barang Milik Daerah pada Perangkat Daerah</t>
  </si>
  <si>
    <t>Jumlah Dokumen Hasil Pemanfaatan Barang Milik Daerah SKPD Meningkatnya pelaksanaan pelayanan administrasi perkantoran, sarana dan prasarana aparatur, disiplin aparatur, kapasitas sumber daya aparatur, serta kualitas capaian laporan kinerja dan keuangan</t>
  </si>
  <si>
    <t>1 Dokumen
100</t>
  </si>
  <si>
    <t>4.01.01.2.03.0007</t>
  </si>
  <si>
    <t>Pemanfaatan Barang Milik Daerah SKPD</t>
  </si>
  <si>
    <t>Jumlah Dokumen Hasil Pemanfaatan Barang Milik Daerah SKPD</t>
  </si>
  <si>
    <t>4.01.01.2.05</t>
  </si>
  <si>
    <t>Administrasi Kepegawaian Perangkat Daerah</t>
  </si>
  <si>
    <t>-
Meningkatnya pelaksanaan pelayanan administrasi perkantoran, sarana dan prasarana aparatur, disiplin aparatur, kapasitas sumber daya aparatur, serta kualitas capaian laporan kinerja dan keuangan.</t>
  </si>
  <si>
    <t>4.01.01.2.05.0002</t>
  </si>
  <si>
    <t>Pengadaan Pakaian Dinas beserta Atribut Kelengkapannya</t>
  </si>
  <si>
    <t>Jumlah Paket Pakaian Dinas beserta Atribut Kelengkapan</t>
  </si>
  <si>
    <t>Paket</t>
  </si>
  <si>
    <t>4.01.01.2.05.0009</t>
  </si>
  <si>
    <t>Pendidikan dan Pelatihan Pegawai Berdasarkan Tugas dan Fungsi</t>
  </si>
  <si>
    <t>Jumlah Pegawai Berdasarkan Tugas dan Fungsi yang Mengikuti Pendidikan dan Pelatihan</t>
  </si>
  <si>
    <t>Orang</t>
  </si>
  <si>
    <t>4.01.01.2.06</t>
  </si>
  <si>
    <t>Administrasi Umum Perangkat Daerah</t>
  </si>
  <si>
    <t>Meningkatnya pelaksanaan pelayanan administrasi perkantoran, sarana dan prasarana aparatur, disiplin aparatur, kapasitas sumber daya aparatur, serta kualitas capaian laporan kinerja dan keuangan
terlaksananya pelayanan administrasi umum</t>
  </si>
  <si>
    <t>4.01.01.2.06.0001</t>
  </si>
  <si>
    <t>Penyediaan Komponen Instalasi Listrik/Penerangan Bangunan Kantor</t>
  </si>
  <si>
    <t>Jumlah Paket Komponen Instalasi Listrik/Penerangan Bangunan Kantor yang Disediakan</t>
  </si>
  <si>
    <t>4.01.01.2.06.0002</t>
  </si>
  <si>
    <t>Penyediaan Peralatan dan Perlengkapan Kantor</t>
  </si>
  <si>
    <t>Jumlah Paket Peralatan dan Perlengkapan Kantor yang Disediakan</t>
  </si>
  <si>
    <t>4.01.01.2.06.0004</t>
  </si>
  <si>
    <t>Penyediaan Bahan Logistik Kantor</t>
  </si>
  <si>
    <t>Jumlah Paket Bahan Logistik Kantor yang Disediakan</t>
  </si>
  <si>
    <t>4.01.01.2.06.0006</t>
  </si>
  <si>
    <t>Penyediaan Bahan Bacaan dan Peraturan Perundang-undangan</t>
  </si>
  <si>
    <t>Jumlah Dokumen Bahan Bacaan dan Peraturan Perundang-Undangan yang Disediakan</t>
  </si>
  <si>
    <t>4.01.01.2.06.0008</t>
  </si>
  <si>
    <t>Fasilitasi Kunjungan Tamu</t>
  </si>
  <si>
    <t>Jumlah Laporan Fasilitasi Kunjungan Tamu</t>
  </si>
  <si>
    <t>4.01.01.2.06.0009</t>
  </si>
  <si>
    <t>Penyelenggaraan Rapat Koordinasi dan Konsultasi SKPD</t>
  </si>
  <si>
    <t>Jumlah Laporan Penyelenggaraan Rapat Koordinasi dan Konsultasi SKPD</t>
  </si>
  <si>
    <t>4.01.01.2.07</t>
  </si>
  <si>
    <t>Pengadaan Barang Milik Daerah Penunjang Urusan Pemerintah Daerah</t>
  </si>
  <si>
    <t>-
Meningkatnya pelaksanaan pelayanan administrasi perkantoran, sarana dan prasarana aparatur, disiplin aparatur, kapasitas sumber daya aparatur, serta kualitas capaian laporan kinerja dan keuangan</t>
  </si>
  <si>
    <t>4.01.01.2.07.0001</t>
  </si>
  <si>
    <t>Pengadaan Kendaraan Perorangan Dinas atau Kendaraan Dinas Jabatan</t>
  </si>
  <si>
    <t>Jumlah Unit Kendaraan Perorangan Dinas atau Kendaraan Dinas Jabatan yang Disediakan</t>
  </si>
  <si>
    <t>Unit</t>
  </si>
  <si>
    <t>4.01.01.2.07.0002</t>
  </si>
  <si>
    <t>Pengadaan Kendaraan Dinas Operasional atau Lapangan</t>
  </si>
  <si>
    <t>Jumlah Unit Kendaraan Dinas Operasional atau Lapangan yang Disediakan</t>
  </si>
  <si>
    <t>4.01.01.2.07.0005</t>
  </si>
  <si>
    <t>Pengadaan Mebel</t>
  </si>
  <si>
    <t>Jumlah Paket Mebel yang Disediakan</t>
  </si>
  <si>
    <t>4.01.01.2.07.0007</t>
  </si>
  <si>
    <t>Pengadaan Aset Tetap Lainnya</t>
  </si>
  <si>
    <t>Jumlah Unit Aset Tetap Lainnya yang Disediakan</t>
  </si>
  <si>
    <t>4.01.01.2.07.0010</t>
  </si>
  <si>
    <t>Pengadaan Sarana dan Prasarana Gedung Kantor atau Bangunan Lainnya</t>
  </si>
  <si>
    <t>Jumlah Unit Sarana dan Prasarana Gedung Kantor atau Bangunan Lainnya yang Disediakan</t>
  </si>
  <si>
    <t>4.01.01.2.07.0011</t>
  </si>
  <si>
    <t>Pengadaan Sarana dan Prasarana Pendukung Gedung Kantor atau Bangunan Lainnya</t>
  </si>
  <si>
    <t>Jumlah Unit Sarana dan Prasarana Pendukung Gedung Kantor atau Bangunan Lainnya yang Disediakan</t>
  </si>
  <si>
    <t>4.01.01.2.08</t>
  </si>
  <si>
    <t>Penyediaan Jasa Penunjang Urusan Pemerintahan Daerah</t>
  </si>
  <si>
    <t>4.01.01.2.08.0002</t>
  </si>
  <si>
    <t>Penyediaan Jasa Komunikasi, Sumber Daya Air dan Listrik</t>
  </si>
  <si>
    <t>Jumlah Laporan Penyediaan Jasa Komunikasi, Sumber Daya Air dan Listrik yang Disediakan</t>
  </si>
  <si>
    <t>4.01.01.2.08.0003</t>
  </si>
  <si>
    <t>Penyediaan Jasa Peralatan dan Perlengkapan Kantor</t>
  </si>
  <si>
    <t>Jumlah Laporan Penyediaan Jasa Peralatan dan Perlengkapan Kantor yang Disediakan</t>
  </si>
  <si>
    <t>4.01.01.2.08.0004</t>
  </si>
  <si>
    <t>Penyediaan Jasa Pelayanan Umum Kantor</t>
  </si>
  <si>
    <t>Jumlah Laporan Penyediaan Jasa Pelayanan Umum Kantor yang Disediakan</t>
  </si>
  <si>
    <t>4.01.01.2.09</t>
  </si>
  <si>
    <t>Pemeliharaan Barang Milik Daerah Penunjang Urusan Pemerintahan Daerah</t>
  </si>
  <si>
    <t>4.01.01.2.09.0001</t>
  </si>
  <si>
    <t>Penyediaan Jasa Pemeliharaan, Biaya Pemeliharaan, dan Pajak Kendaraan Perorangan Dinas atau Kendaraan Dinas Jabatan</t>
  </si>
  <si>
    <t>Jumlah Kendaraan Perorangan Dinas atau Kendaraan Dinas Jabatan yang Dipelihara dan dibayarkan Pajaknya</t>
  </si>
  <si>
    <t>4.01.01.2.09.0002</t>
  </si>
  <si>
    <t>Penyediaan Jasa Pemeliharaan, Biaya Pemeliharaan, Pajak dan Perizinan Kendaraan Dinas Operasional atau Lapangan</t>
  </si>
  <si>
    <t>Jumlah Kendaraan Dinas Operasional atau Lapangan yang Dipelihara dan dibayarkan Pajak dan Perizinannya</t>
  </si>
  <si>
    <t>4.01.01.2.09.0006</t>
  </si>
  <si>
    <t>Pemeliharaan Peralatan dan Mesin Lainnya</t>
  </si>
  <si>
    <t>Jumlah Peralatan dan Mesin Lainnya yang Dipelihara</t>
  </si>
  <si>
    <t>4.01.01.2.09.0009</t>
  </si>
  <si>
    <t>Pemeliharaan/Rehabilitasi Gedung Kantor dan Bangunan Lainnya</t>
  </si>
  <si>
    <t>Jumlah Gedung Kantor dan Bangunan Lainnya yang Dipelihara/Direhabilitasi</t>
  </si>
  <si>
    <t>4.01.01.2.09.0010</t>
  </si>
  <si>
    <t>Pemeliharaan/Rehabilitasi Sarana dan Prasarana Gedung Kantor atau Bangunan Lainnya</t>
  </si>
  <si>
    <t>Jumlah Sarana dan Prasarana Gedung Kantor atau Bangunan Lainnya yang Dipelihara/Direhabilitasi</t>
  </si>
  <si>
    <t>4.01.01.2.11</t>
  </si>
  <si>
    <t>Administrasi Keuangan dan Operasional Kepala Daerah dan Wakil Kepala Daerah</t>
  </si>
  <si>
    <t>4.01.01.2.11.0001</t>
  </si>
  <si>
    <t>Penyediaan Gaji dan Tunjangan Kepala Daerah dan Wakil Kepala Daerah</t>
  </si>
  <si>
    <t>Jumlah Orang yang Menerima Gaji dan Tunjangan Kepala Daerah dan Wakil Kepala Daerah</t>
  </si>
  <si>
    <t>4.01.01.2.11.0003</t>
  </si>
  <si>
    <t>Pelaksanaan Medical Check Up Kepala Daerah dan Wakil Kepala Daerah</t>
  </si>
  <si>
    <t>Jumlah Orang yang Mengikuti Medical Check Up Kepala Daerah dan Wakil Kepala Daerah</t>
  </si>
  <si>
    <t>4.01.01.2.11.0004</t>
  </si>
  <si>
    <t>Penyediaan Dana Penunjang Operasional Kepala Daerah dan Wakil Kepala Daerah</t>
  </si>
  <si>
    <t>Jumlah Orang yang Menerima Dana Penunjang Operasional Kepala Daerah dan Wakil Kepala Daerah</t>
  </si>
  <si>
    <t>4.01.01.2.12</t>
  </si>
  <si>
    <t>Fasilitasi Kerumahtanggaan Sekretariat Daerah</t>
  </si>
  <si>
    <t>4.01.01.2.12.0001</t>
  </si>
  <si>
    <t>Penyediaan Kebutuhan Rumah Tangga Kepala Daerah</t>
  </si>
  <si>
    <t>Jumlah Paket Kebutuhan Rumah Tangga Kepala Daerah yang Disediakan</t>
  </si>
  <si>
    <t>4.01.01.2.12.0002</t>
  </si>
  <si>
    <t>Penyediaan Kebutuhan Rumah Tangga Wakil Kepala Daerah</t>
  </si>
  <si>
    <t>Jumlah Paket Kebutuhan Rumah Tangga Wakil Kepala Daerah yang Disediakan</t>
  </si>
  <si>
    <t>4.01.01.2.13</t>
  </si>
  <si>
    <t>Penataan Organisasi</t>
  </si>
  <si>
    <t>-
Persentase kesesuaian program prioritas dengan struktur organisasi perangkat daerah</t>
  </si>
  <si>
    <t>4.01.01.2.13.0001</t>
  </si>
  <si>
    <t>Pengelolaan Kelembagaan dan Analisis Jabatan</t>
  </si>
  <si>
    <t>Jumlah Dokumen Pengelolaan Kelembagaan dan Analisis Jabatan</t>
  </si>
  <si>
    <t>4.01.01.2.13.0002</t>
  </si>
  <si>
    <t>Fasilitasi Pelayanan Publik dan Tata Laksana</t>
  </si>
  <si>
    <t>Jumlah Laporan Hasil Fasilitasi Pelayanan Publik dan Tata Laksana</t>
  </si>
  <si>
    <t>4.01.01.2.13.0003</t>
  </si>
  <si>
    <t>Peningkatan Kinerja dan Reformasi Birokrasi</t>
  </si>
  <si>
    <t>Jumlah Dokumen Peningkatan Kinerja dan Reformasi Birokrasi</t>
  </si>
  <si>
    <t>4.01.01.2.13.0004</t>
  </si>
  <si>
    <t>Monitoring, Evaluasi dan Pengendalian Kualitas Pelayanan Publik dan Tata Laksana</t>
  </si>
  <si>
    <t>Jumlah Dokumen Monitoring, Evaluasi dan Pengendalian Kualitas Pelayanan Publik dan Tata Laksana</t>
  </si>
  <si>
    <t>4.01.01.2.13.0005</t>
  </si>
  <si>
    <t>Koordinasi dan Penyusunan Laporan Kinerja Pemerintah Daerah</t>
  </si>
  <si>
    <t>Jumlah Dokumen Koordinasi dan Penyusunan Laporan Kinerja Pemerintah Daerah</t>
  </si>
  <si>
    <t>4.01.01.2.14</t>
  </si>
  <si>
    <t>Pelaksanaan Protokol dan Komunikasi Pimpinan</t>
  </si>
  <si>
    <t>-
Meningkatnya komunikasi pimpinan dalam penyelenggaraan pemerintahan daerah dan kualitas pelayanan informasi publik.</t>
  </si>
  <si>
    <t>4.01.01.2.14.0001</t>
  </si>
  <si>
    <t>Fasilitasi Keprotokolan</t>
  </si>
  <si>
    <t>Jumlah Laporan Hasil Fasilitasi Keprotokolan</t>
  </si>
  <si>
    <t>4.01.01.2.14.0002</t>
  </si>
  <si>
    <t>Fasilitasi Komunikasi Pimpinan</t>
  </si>
  <si>
    <t>Jumlah Laporan Hasil Fasilitasi Komunikasi Pimpinan</t>
  </si>
  <si>
    <t>√</t>
  </si>
  <si>
    <t>4.01.01.2.14.0003</t>
  </si>
  <si>
    <t>Pendokumentasian Tugas Pimpinan</t>
  </si>
  <si>
    <t>Jumlah Laporan Pendokumentasian Tugas Pimpinan</t>
  </si>
  <si>
    <t>Rata-Rata Capaian Kinerja (%)</t>
  </si>
  <si>
    <t>Predikat Kinerja</t>
  </si>
  <si>
    <t>4,01,02</t>
  </si>
  <si>
    <t>PROGRAM PEMERINTAHAN DAN KESEJAHTERAAN RAKYAT</t>
  </si>
  <si>
    <t>Persentase  lembaga keagamaan dan peningkatan kesadaran toleransi beragama, Persentase Jumlah Perkara hukum yang difasilitasi, Ketersediaan dokumen LKPJ dan LPPD tepat waktu
Persentase lembaga keagamaan dan peningkatan kesadaran toleransi beragama, Persentase Jumlah Perkara hukum yang difasilitasi, Ketersediaan dokumen LKPJ dan LPPD tepat waktu</t>
  </si>
  <si>
    <t>4.01.02.2.01</t>
  </si>
  <si>
    <t>Administrasi Tata Pemerintahan</t>
  </si>
  <si>
    <t>Persentase penyelesaian Tapal Batas wilayah administrasi antar daerah, Penyediaan dokumen LKPJ, Penyusunan Dokumen LPPD, terpahaminya PATEN bagi aparatur Kecamatan.</t>
  </si>
  <si>
    <t>4.01.02.2.01.0001</t>
  </si>
  <si>
    <t>Penataan Administrasi Pemerintahan</t>
  </si>
  <si>
    <t>Jumlah Dokumen Hasil Penataan Administrasi Pemerintahan</t>
  </si>
  <si>
    <t>4.01.02.2.01.0002</t>
  </si>
  <si>
    <t>Pengelolaan Administrasi Kewilayahan</t>
  </si>
  <si>
    <t>Jumlah Dokumen Hasil Pengelolaan Administrasi Kewilayahan</t>
  </si>
  <si>
    <t>4.01.02.2.01.0003</t>
  </si>
  <si>
    <t>Fasilitasi Pelaksanaan Otonomi Daerah</t>
  </si>
  <si>
    <t>Jumlah Dokumen Hasil Fasilitasi Pelaksanaan Otonomi Daerah</t>
  </si>
  <si>
    <t>4.01.02.2.02</t>
  </si>
  <si>
    <t>Pelaksanaan Kebijakan Kesejahteraan Rakyat</t>
  </si>
  <si>
    <t>Meningkatnya guru kontrak TKA/TPA sebagai penerima gaji, terlaksananya kegiatan STQ dan Pembinaan Mental Spiritual serta Pengajian Rutin.</t>
  </si>
  <si>
    <t>4.01.02.2.02.0001</t>
  </si>
  <si>
    <t>Fasilitasi Pengelolaan Bina Mental Spiritual</t>
  </si>
  <si>
    <t>Jumlah Dokumen Hasil Fasilitasi Pengelolaan Bina Mental Spiritual</t>
  </si>
  <si>
    <t>4.01.02.2.02.0002</t>
  </si>
  <si>
    <t>Pelaksanaan Kebijakan, Evaluasi, dan Capaian Kinerja Terkait Kesejahteraan Sosial</t>
  </si>
  <si>
    <t>Jumlah Dokumen Hasil Kebijakan, Evaluasi, dan Capaian Kinerja Terkait Kesejahteraan Sosial yang Meliputi Urusan Sosial, Transmigrasi, Kesehatan, Pemberdayaan Perempuan dan Perlindungan Anak, Administrasi Kependudukan Dan Pencatatan Sipil, Pemberdayaan Masyarakat dan Desa, Pengendalian Penduduk dan KB</t>
  </si>
  <si>
    <t>4.01.02.2.02.0003</t>
  </si>
  <si>
    <t>Pelaksanaan Kebijakan, Evaluasi, dan Capaian Kinerja Terkait Kesejahteraan Masyarakat</t>
  </si>
  <si>
    <t>Jumlah Dokumen Hasil Kebijakan, Evaluasi, dan Capaian Kinerja Terkait Kesejahteraan Masyarakat yang Meliputi Urusan Kepemudaan dan Olahraga, Pariwisata, Pendidikan, Kebudayaan, Perpustakaan, Kearsipan, Trantibum Linmas</t>
  </si>
  <si>
    <t>4.01.02.2.03</t>
  </si>
  <si>
    <t>Fasilitasi dan Koordinasi Hukum</t>
  </si>
  <si>
    <t>Jumlah Dokumen Hasil Penataan Administrasi Pemerintahan Terlaksananya bantuan hukum penanganan kasus, tersedianya dokumen LHP, terlaksananaya penyuluhan hukum terpadu dan terselesaikannya Draf rancangan Perdan serta kajian produk hukum daerah.</t>
  </si>
  <si>
    <t>4.01.02.2.03.0001</t>
  </si>
  <si>
    <t>Fasilitasi Penyusunan Produk Hukum Daerah</t>
  </si>
  <si>
    <t>Jumlah Produk Hukum Daerah yang Disusun</t>
  </si>
  <si>
    <t>4.01.02.2.03.0002</t>
  </si>
  <si>
    <t>Fasilitasi Bantuan Hukum</t>
  </si>
  <si>
    <t>Jumlah Kasus yang Mendapatkan Fasilitasi Bantuan Hukum</t>
  </si>
  <si>
    <t>Kasus</t>
  </si>
  <si>
    <t>4.01.02.2.03.0003</t>
  </si>
  <si>
    <t>Pendokumentasian Produk Hukum dan Pengelolaan Informasi Hukum</t>
  </si>
  <si>
    <t>Jumlah Produk Hukum dan Pengelolaan Informasi Hukum yang Didokumentasi</t>
  </si>
  <si>
    <t>4,01,03</t>
  </si>
  <si>
    <t>PROGRAM PEREKONOMIAN DAN PEMBANGUNAN</t>
  </si>
  <si>
    <t>Peningkatan jumlah lembaga Ekonomi Kab/Kota yang berdaya saing,  Persentase  Jumlah Laporan DAK dan APBD dari OPD tepat waktu, Persentase  kesesuaian pengadaan barang dan jasa dengan rencana.</t>
  </si>
  <si>
    <t>4.01.03.2.01</t>
  </si>
  <si>
    <t>Pelaksanaan Kebijakan Perekonomian</t>
  </si>
  <si>
    <t>Jumlah Dokumen Hasil Koordinasi, Sinkronisasi, Monitoring dan Evaluasi Kebijakan Pengelolaan BUMD dan BLUD
Meningkatnya dokumen potensi produksi daerah secara berkala, terlaksananya peningkatan dan pemerataan kesejahteraan masyarakat melalui penguatan ekonomi yang berbasis kerakyatan.</t>
  </si>
  <si>
    <t>4.01.03.2.01.0001</t>
  </si>
  <si>
    <t>Koordinasi, Sinkronisasi, Monitoring dan Evaluasi Kebijakan Pengelolaan BUMD dan BLUD</t>
  </si>
  <si>
    <t>Jumlah Dokumen Hasil Koordinasi, Sinkronisasi, Monitoring dan Evaluasi Kebijakan Pengelolaan BUMD dan BLUD</t>
  </si>
  <si>
    <t>4.01.03.2.01.0002</t>
  </si>
  <si>
    <t>Pengendalian dan Distribusi Perekonomian</t>
  </si>
  <si>
    <t>Jumlah Laporan Hasil Pengendalian dan Distribusi Perekonomian</t>
  </si>
  <si>
    <t>4.01.03.2.01.0003</t>
  </si>
  <si>
    <t>Perencanaan dan Pengawasan Ekonomi Mikro Kecil</t>
  </si>
  <si>
    <t>Jumlah Dokumen Hasil Perencanaan dan Pengawasan Ekonomi Mikro Kecil</t>
  </si>
  <si>
    <t>4.01.03.2.02</t>
  </si>
  <si>
    <t>Pelaksanaan Administrasi Pembangunan</t>
  </si>
  <si>
    <t>Tersedianya dokumen penyusunan  perencanan sekertariat Daerah,Jumlah dokumen Data laporan Tepra secara berkala dan laporan Capaian Fisik serta data laporan hasil Monitirin pelaksanaan kegiatan Pembangunan Daerah.</t>
  </si>
  <si>
    <t>4.01.03.2.02.0001</t>
  </si>
  <si>
    <t>Fasilitasi Penyusunan Program Pembangunan</t>
  </si>
  <si>
    <t>Jumlah Dokumen Hasil Fasilitasi Penyusunan Program Pembangunan Daerah</t>
  </si>
  <si>
    <t>4.01.03.2.02.0002</t>
  </si>
  <si>
    <t>Pengendalian dan Evaluasi Program Pembangunan</t>
  </si>
  <si>
    <t>Jumlah Laporan Hasil Pengendalian dan Evaluasi Program Pembangunan</t>
  </si>
  <si>
    <t>4.01.03.2.02.0003</t>
  </si>
  <si>
    <t>Pengelolaan Evaluasi dan Pelaporan Pelaksanaan Pembangunan</t>
  </si>
  <si>
    <t>Jumlah Laporan Hasil Pengelolaan Evaluasi dan Pelaporan Pelaksanaan Pembangunan</t>
  </si>
  <si>
    <t>4.01.03.2.03</t>
  </si>
  <si>
    <t>Pengelolaan Pengadaan Barang dan Jasa</t>
  </si>
  <si>
    <t>terlaksananya pelatihan Aplikasi Sirup dan Aplikasi SPSE dan Asosiasi/penyedia Barang Jasa.</t>
  </si>
  <si>
    <t>4.01.03.2.03.0001</t>
  </si>
  <si>
    <t>Jumlah Dokumen Hasil Pengelolaan Pengadaan Barang dan Jasa</t>
  </si>
  <si>
    <t>4.01.03.2.03.0002</t>
  </si>
  <si>
    <t>Pengelolaan Layanan Pengadaan Secara Elektronik</t>
  </si>
  <si>
    <t>Jumlah Dokumen Hasil Layanan Pengadaan Secara Elektronik</t>
  </si>
  <si>
    <t>4.01.03.2.03.0003</t>
  </si>
  <si>
    <t>Pembinaan dan Advokasi Pengadaan Barang dan Jasa</t>
  </si>
  <si>
    <t>Jumlah Orang yang Mengikuti Pembinaan dan Advokasi Pengadaan Barang dan Jasa</t>
  </si>
  <si>
    <t>JUMLAH ANGGARAN DAN REALISASI DARI SELURUH PROGRAM PER-URUSAN</t>
  </si>
  <si>
    <t>Inspektorat</t>
  </si>
  <si>
    <t>TOTAL RATA-RATA CAPAIAN KINERJA DARI SELURUH PROGRAM PER-URUSAN</t>
  </si>
  <si>
    <t>PREDIKAT KINERJA PER-URUSAN</t>
  </si>
  <si>
    <t>No</t>
  </si>
  <si>
    <t>Kode</t>
  </si>
  <si>
    <t>Urusan/ Bidang Urusan Pemerintahan Daerah dan Program/ Kegiatan</t>
  </si>
  <si>
    <t>Indikator Kinerja Program (Outcome)/Kegiatan (Output)</t>
  </si>
  <si>
    <t>Satuan</t>
  </si>
  <si>
    <t>Target RPJMD pada Tahun 2023 (Akhir Periode RPJMD)</t>
  </si>
  <si>
    <t>Realisasi Capaian Kinerja RPJMD s/d Tahun Lalu (2023)</t>
  </si>
  <si>
    <t>Target Kinerja dan Anggaran RKPD Tahun 2023</t>
  </si>
  <si>
    <t>Realisasi Kinerja Pada Triwulan</t>
  </si>
  <si>
    <t>Realisasi Capaian Kinerja dan Anggaran RKPD Tahun 2024</t>
  </si>
  <si>
    <t>Tingkat Capaian Kinerja dan Realisasi Anggaran RKPD Tahun 2024 (%)</t>
  </si>
  <si>
    <t>Realisasi Kinerja dan Anggaran RPJMD s/d Akhir Tahun 2024</t>
  </si>
  <si>
    <t>Tingkat Capaian Kinerja dan Realisasi Anggaran RPJMD s/d Tahun 2024 (%)</t>
  </si>
  <si>
    <t>OPD Penanggung Jawab</t>
  </si>
  <si>
    <t>Ket.</t>
  </si>
  <si>
    <t>RPJMD</t>
  </si>
  <si>
    <t>RKPD 2023</t>
  </si>
  <si>
    <t>APBD 2023</t>
  </si>
  <si>
    <t>JUMLAH</t>
  </si>
  <si>
    <t>KEGIATAN TIDAK DIDUKUNG RKPD</t>
  </si>
  <si>
    <t>KEGIATAN TIDAK DIDUKUNG APBD</t>
  </si>
  <si>
    <t>RKPD 2022</t>
  </si>
  <si>
    <t>APBD 2021</t>
  </si>
  <si>
    <t>REALISASI</t>
  </si>
  <si>
    <t>K</t>
  </si>
  <si>
    <t>RKPD</t>
  </si>
  <si>
    <t>APBD</t>
  </si>
  <si>
    <t>I</t>
  </si>
  <si>
    <t>II</t>
  </si>
  <si>
    <t>III</t>
  </si>
  <si>
    <t>IV</t>
  </si>
  <si>
    <t>Rp (000)</t>
  </si>
  <si>
    <t>OPD</t>
  </si>
  <si>
    <t>-</t>
  </si>
  <si>
    <t>TRIWULAN I</t>
  </si>
  <si>
    <t>TRIWULAN II</t>
  </si>
  <si>
    <t>SEKRETARIS DAERAH</t>
  </si>
  <si>
    <t>MUH. ALI SALENG, SH, M.Si</t>
  </si>
  <si>
    <t>Pangkat : Pembina Utama Madya</t>
  </si>
  <si>
    <t>Nip. 19681231 199403 1 051</t>
  </si>
  <si>
    <t>EVALUASI HASIL RENCANA KERJA PEMERINTAH DAERAH (RKPD) KABUPATEN BULUKUMBA</t>
  </si>
  <si>
    <t xml:space="preserve"> </t>
  </si>
  <si>
    <t>"Melanjutkan Pembangunan Infrastruktur Daerah yang Berkesinambungan Dalam Rangka Peningkatan Kesejahteraan Rakyat"</t>
  </si>
  <si>
    <t>TRIWULAN III (JULI S/D SEPTEMBER ) TAHUN ANGGARAN 2024</t>
  </si>
  <si>
    <t>TRIWULAN III</t>
  </si>
  <si>
    <t>Bulukumba,       Oktober 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</si>
</sst>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1" formatCode="_-* #,##0_-;\-* #,##0_-;_-* &quot;-&quot;_-;_-@_-"/>
    <numFmt numFmtId="43" formatCode="_-* #,##0.00_-;\-* #,##0.00_-;_-* &quot;-&quot;??_-;_-@_-"/>
    <numFmt numFmtId="164" formatCode="_(* #,##0_);_(* \(#,##0\);_(* &quot;-&quot;_);_(@_)"/>
    <numFmt numFmtId="165" formatCode="_(* #,##0.00_);_(* \(#,##0.00\);_(* &quot;-&quot;_);_(@_)"/>
    <numFmt numFmtId="166" formatCode="_(* #,##0.00_);_(* \(#,##0.00\);_(* &quot;-&quot;??_);_(@_)"/>
    <numFmt numFmtId="167" formatCode="_(* #,##0_);_(* \(#,##0\);_(* &quot;-&quot;??_);_(@_)"/>
    <numFmt numFmtId="168" formatCode="_(* #,##0.000_);_(* \(#,##0.000\);_(* &quot;-&quot;_);_(@_)"/>
    <numFmt numFmtId="169" formatCode="_(* #,##0.0_);_(* \(#,##0.0\);_(* &quot;-&quot;_);_(@_)"/>
    <numFmt numFmtId="170" formatCode="_-* #,##0.000_-;\-* #,##0.000_-;_-* &quot;-&quot;??_-;_-@_-"/>
    <numFmt numFmtId="171" formatCode="0.0"/>
    <numFmt numFmtId="172" formatCode="_(* #,##0.000_);_(* \(#,##0.000\);_(* &quot;-&quot;???_);_(@_)"/>
    <numFmt numFmtId="173" formatCode="_-* #,##0_-;\-* #,##0_-;_-* &quot;-&quot;??_-;_-@_-"/>
  </numFmts>
  <fonts count="44" x14ac:knownFonts="1">
    <font>
      <sz val="11"/>
      <color theme="1"/>
      <name val="Calibri"/>
      <family val="2"/>
      <scheme val="minor"/>
    </font>
    <font>
      <sz val="11"/>
      <color theme="1"/>
      <name val="Calibri"/>
      <family val="2"/>
      <scheme val="minor"/>
    </font>
    <font>
      <sz val="8"/>
      <name val="Arial"/>
      <family val="2"/>
      <charset val="1"/>
    </font>
    <font>
      <sz val="7"/>
      <name val="Open Sans"/>
      <family val="2"/>
    </font>
    <font>
      <sz val="8"/>
      <name val="Arial"/>
      <family val="2"/>
    </font>
    <font>
      <sz val="10"/>
      <name val="Arial"/>
      <family val="2"/>
      <charset val="1"/>
    </font>
    <font>
      <sz val="11"/>
      <name val="Calibri"/>
      <family val="2"/>
      <scheme val="minor"/>
    </font>
    <font>
      <sz val="10"/>
      <name val="Bookman Old Style"/>
      <family val="1"/>
      <charset val="1"/>
    </font>
    <font>
      <b/>
      <sz val="9"/>
      <name val="Arial"/>
      <family val="2"/>
      <charset val="1"/>
    </font>
    <font>
      <sz val="12"/>
      <name val="Arial"/>
      <family val="2"/>
      <charset val="1"/>
    </font>
    <font>
      <b/>
      <sz val="8"/>
      <name val="Arial"/>
      <family val="2"/>
      <charset val="1"/>
    </font>
    <font>
      <b/>
      <sz val="7"/>
      <name val="Open Sans"/>
      <family val="2"/>
    </font>
    <font>
      <b/>
      <sz val="8"/>
      <name val="Arial"/>
      <family val="2"/>
    </font>
    <font>
      <b/>
      <sz val="10"/>
      <name val="Arial"/>
      <family val="2"/>
      <charset val="1"/>
    </font>
    <font>
      <b/>
      <sz val="11"/>
      <name val="Calibri"/>
      <family val="2"/>
      <scheme val="minor"/>
    </font>
    <font>
      <b/>
      <sz val="10"/>
      <name val="Bookman Old Style"/>
      <family val="1"/>
      <charset val="1"/>
    </font>
    <font>
      <b/>
      <sz val="12"/>
      <name val="Arial"/>
      <family val="2"/>
      <charset val="1"/>
    </font>
    <font>
      <b/>
      <i/>
      <sz val="8"/>
      <name val="Arial"/>
      <family val="2"/>
      <charset val="1"/>
    </font>
    <font>
      <i/>
      <sz val="8"/>
      <name val="Arial"/>
      <family val="2"/>
      <charset val="1"/>
    </font>
    <font>
      <sz val="10"/>
      <name val="Bookman Old Style"/>
      <family val="1"/>
    </font>
    <font>
      <b/>
      <sz val="12"/>
      <name val="Arial"/>
      <family val="2"/>
    </font>
    <font>
      <sz val="9"/>
      <name val="Arial"/>
      <family val="2"/>
      <charset val="1"/>
    </font>
    <font>
      <b/>
      <sz val="10"/>
      <name val="Arial"/>
      <family val="2"/>
    </font>
    <font>
      <b/>
      <sz val="10"/>
      <name val="Bookman Old Style"/>
      <family val="1"/>
    </font>
    <font>
      <sz val="11"/>
      <name val="Arial"/>
      <family val="2"/>
    </font>
    <font>
      <b/>
      <sz val="11"/>
      <name val="Arial"/>
      <family val="2"/>
      <charset val="1"/>
    </font>
    <font>
      <sz val="10"/>
      <name val="Arial"/>
      <family val="2"/>
    </font>
    <font>
      <sz val="9"/>
      <name val="Arial"/>
      <family val="2"/>
    </font>
    <font>
      <b/>
      <sz val="8"/>
      <color theme="1"/>
      <name val="Arial"/>
      <family val="2"/>
    </font>
    <font>
      <b/>
      <sz val="10"/>
      <color theme="1"/>
      <name val="Arial"/>
      <family val="2"/>
    </font>
    <font>
      <b/>
      <sz val="10"/>
      <color theme="1"/>
      <name val="Bookman Old Style"/>
      <family val="1"/>
    </font>
    <font>
      <b/>
      <sz val="12"/>
      <color theme="1"/>
      <name val="Calibri"/>
      <family val="2"/>
      <scheme val="minor"/>
    </font>
    <font>
      <b/>
      <sz val="12"/>
      <color theme="1"/>
      <name val="Calibri"/>
      <family val="2"/>
      <charset val="1"/>
      <scheme val="minor"/>
    </font>
    <font>
      <b/>
      <sz val="11"/>
      <color theme="1"/>
      <name val="Calibri"/>
      <family val="2"/>
      <scheme val="minor"/>
    </font>
    <font>
      <sz val="10"/>
      <color theme="1"/>
      <name val="Arial"/>
      <family val="2"/>
    </font>
    <font>
      <b/>
      <sz val="11"/>
      <name val="Arial"/>
      <family val="2"/>
    </font>
    <font>
      <sz val="14"/>
      <name val="Times New Roman"/>
      <family val="1"/>
    </font>
    <font>
      <b/>
      <sz val="14"/>
      <name val="Times New Roman"/>
      <family val="1"/>
    </font>
    <font>
      <b/>
      <u/>
      <sz val="14"/>
      <name val="Times New Roman"/>
      <family val="1"/>
    </font>
    <font>
      <b/>
      <sz val="18"/>
      <color theme="1"/>
      <name val="Arial"/>
      <family val="2"/>
    </font>
    <font>
      <sz val="10"/>
      <color theme="1"/>
      <name val="Calibri"/>
      <family val="2"/>
      <scheme val="minor"/>
    </font>
    <font>
      <b/>
      <i/>
      <sz val="16"/>
      <name val="Arial"/>
      <family val="2"/>
    </font>
    <font>
      <b/>
      <i/>
      <sz val="16"/>
      <color rgb="FF0070C0"/>
      <name val="Arial"/>
      <family val="2"/>
    </font>
    <font>
      <b/>
      <i/>
      <sz val="10"/>
      <color rgb="FF0070C0"/>
      <name val="Arial"/>
      <family val="2"/>
    </font>
  </fonts>
  <fills count="5">
    <fill>
      <patternFill patternType="none"/>
    </fill>
    <fill>
      <patternFill patternType="gray125"/>
    </fill>
    <fill>
      <patternFill patternType="solid">
        <fgColor rgb="FF00B0F0"/>
        <bgColor indexed="64"/>
      </patternFill>
    </fill>
    <fill>
      <patternFill patternType="solid">
        <fgColor rgb="FFFFC000"/>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style="thin">
        <color indexed="64"/>
      </right>
      <top/>
      <bottom/>
      <diagonal/>
    </border>
    <border>
      <left style="thin">
        <color indexed="64"/>
      </left>
      <right style="thin">
        <color indexed="64"/>
      </right>
      <top style="thin">
        <color theme="0" tint="-0.14996795556505021"/>
      </top>
      <bottom/>
      <diagonal/>
    </border>
    <border>
      <left style="thin">
        <color indexed="64"/>
      </left>
      <right style="thin">
        <color indexed="64"/>
      </right>
      <top/>
      <bottom style="thin">
        <color theme="0" tint="-0.1499679555650502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indexed="64"/>
      </left>
      <right style="thin">
        <color indexed="64"/>
      </right>
      <top style="thin">
        <color indexed="64"/>
      </top>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41" fontId="1" fillId="0" borderId="0" applyFont="0" applyFill="0" applyBorder="0" applyAlignment="0" applyProtection="0"/>
  </cellStyleXfs>
  <cellXfs count="222">
    <xf numFmtId="0" fontId="0" fillId="0" borderId="0" xfId="0"/>
    <xf numFmtId="0" fontId="2" fillId="0" borderId="1" xfId="0" applyFont="1" applyBorder="1" applyAlignment="1">
      <alignment horizontal="center" vertical="center"/>
    </xf>
    <xf numFmtId="0" fontId="2" fillId="0" borderId="0" xfId="0" applyFont="1" applyAlignment="1">
      <alignment vertical="top"/>
    </xf>
    <xf numFmtId="0" fontId="5" fillId="0" borderId="0" xfId="0" applyFont="1" applyAlignment="1">
      <alignment horizontal="center" vertical="top" wrapText="1"/>
    </xf>
    <xf numFmtId="0" fontId="5" fillId="0" borderId="0" xfId="0" applyFont="1" applyAlignment="1">
      <alignment horizontal="center" vertical="top" wrapText="1" shrinkToFit="1"/>
    </xf>
    <xf numFmtId="41" fontId="5" fillId="0" borderId="0" xfId="2" applyFont="1" applyFill="1" applyBorder="1" applyAlignment="1">
      <alignment horizontal="center" vertical="top" wrapText="1" shrinkToFit="1"/>
    </xf>
    <xf numFmtId="41" fontId="6" fillId="0" borderId="0" xfId="2" applyFont="1" applyFill="1" applyAlignment="1">
      <alignment vertical="center"/>
    </xf>
    <xf numFmtId="41" fontId="6" fillId="0" borderId="0" xfId="2" applyFont="1" applyFill="1" applyBorder="1" applyAlignment="1">
      <alignment horizontal="right" vertical="center" wrapText="1"/>
    </xf>
    <xf numFmtId="3" fontId="7" fillId="0" borderId="0" xfId="0" applyNumberFormat="1" applyFont="1" applyAlignment="1">
      <alignment vertical="top" shrinkToFit="1"/>
    </xf>
    <xf numFmtId="0" fontId="8" fillId="0" borderId="0" xfId="0" applyFont="1"/>
    <xf numFmtId="0" fontId="9" fillId="0" borderId="0" xfId="0" applyFont="1" applyAlignment="1">
      <alignment horizontal="center"/>
    </xf>
    <xf numFmtId="41" fontId="9" fillId="0" borderId="0" xfId="2" applyFont="1" applyFill="1" applyBorder="1"/>
    <xf numFmtId="0" fontId="9" fillId="0" borderId="0" xfId="0" applyFont="1"/>
    <xf numFmtId="0" fontId="10" fillId="0" borderId="0" xfId="0" applyFont="1" applyAlignment="1">
      <alignment vertical="top"/>
    </xf>
    <xf numFmtId="0" fontId="13" fillId="0" borderId="0" xfId="0" applyFont="1" applyAlignment="1">
      <alignment horizontal="center" vertical="top" wrapText="1"/>
    </xf>
    <xf numFmtId="0" fontId="13" fillId="0" borderId="0" xfId="0" applyFont="1" applyAlignment="1">
      <alignment horizontal="center" vertical="top" wrapText="1" shrinkToFit="1"/>
    </xf>
    <xf numFmtId="41" fontId="13" fillId="0" borderId="0" xfId="2" applyFont="1" applyFill="1" applyBorder="1" applyAlignment="1">
      <alignment horizontal="center" vertical="top" wrapText="1" shrinkToFit="1"/>
    </xf>
    <xf numFmtId="41" fontId="14" fillId="0" borderId="0" xfId="2" applyFont="1" applyFill="1" applyAlignment="1">
      <alignment vertical="center"/>
    </xf>
    <xf numFmtId="41" fontId="14" fillId="0" borderId="0" xfId="2" applyFont="1" applyFill="1" applyBorder="1" applyAlignment="1">
      <alignment horizontal="right" vertical="center" wrapText="1"/>
    </xf>
    <xf numFmtId="3" fontId="15" fillId="0" borderId="0" xfId="0" applyNumberFormat="1" applyFont="1" applyAlignment="1">
      <alignment vertical="top" shrinkToFit="1"/>
    </xf>
    <xf numFmtId="0" fontId="16" fillId="0" borderId="0" xfId="0" applyFont="1" applyAlignment="1">
      <alignment horizontal="center"/>
    </xf>
    <xf numFmtId="41" fontId="16" fillId="0" borderId="0" xfId="2" applyFont="1" applyFill="1" applyBorder="1"/>
    <xf numFmtId="0" fontId="16" fillId="0" borderId="0" xfId="0" applyFont="1"/>
    <xf numFmtId="41" fontId="15" fillId="0" borderId="0" xfId="2" applyFont="1" applyFill="1" applyBorder="1" applyAlignment="1">
      <alignment vertical="top" shrinkToFit="1"/>
    </xf>
    <xf numFmtId="41" fontId="15" fillId="0" borderId="0" xfId="2" applyFont="1" applyFill="1" applyBorder="1" applyAlignment="1">
      <alignment horizontal="center" vertical="top" wrapText="1"/>
    </xf>
    <xf numFmtId="41" fontId="19" fillId="0" borderId="0" xfId="2" applyFont="1" applyFill="1" applyAlignment="1">
      <alignment vertical="top" shrinkToFit="1"/>
    </xf>
    <xf numFmtId="41" fontId="19" fillId="0" borderId="0" xfId="2" applyFont="1" applyFill="1" applyBorder="1" applyAlignment="1">
      <alignment vertical="top" shrinkToFit="1"/>
    </xf>
    <xf numFmtId="0" fontId="2" fillId="0" borderId="4" xfId="0" applyFont="1" applyBorder="1" applyAlignment="1">
      <alignment horizontal="center" vertical="center"/>
    </xf>
    <xf numFmtId="41" fontId="19" fillId="0" borderId="0" xfId="2" applyFont="1" applyFill="1" applyBorder="1" applyAlignment="1">
      <alignment horizontal="center" vertical="top" wrapText="1"/>
    </xf>
    <xf numFmtId="41" fontId="7" fillId="0" borderId="0" xfId="2" applyFont="1" applyFill="1" applyBorder="1" applyAlignment="1">
      <alignment vertical="top" shrinkToFit="1"/>
    </xf>
    <xf numFmtId="166" fontId="9" fillId="0" borderId="0" xfId="0" applyNumberFormat="1" applyFont="1"/>
    <xf numFmtId="169" fontId="9" fillId="0" borderId="0" xfId="0" applyNumberFormat="1" applyFont="1"/>
    <xf numFmtId="170" fontId="20" fillId="0" borderId="0" xfId="0" applyNumberFormat="1" applyFont="1"/>
    <xf numFmtId="169" fontId="16" fillId="0" borderId="0" xfId="0" applyNumberFormat="1" applyFont="1"/>
    <xf numFmtId="0" fontId="8" fillId="0" borderId="0" xfId="0" applyFont="1" applyAlignment="1">
      <alignment horizontal="center"/>
    </xf>
    <xf numFmtId="41" fontId="8" fillId="0" borderId="0" xfId="2" applyFont="1" applyFill="1" applyBorder="1"/>
    <xf numFmtId="41" fontId="14" fillId="0" borderId="0" xfId="2" applyFont="1" applyFill="1"/>
    <xf numFmtId="164" fontId="8" fillId="0" borderId="0" xfId="0" applyNumberFormat="1" applyFont="1"/>
    <xf numFmtId="164" fontId="8" fillId="0" borderId="0" xfId="0" applyNumberFormat="1" applyFont="1" applyAlignment="1">
      <alignment horizontal="center"/>
    </xf>
    <xf numFmtId="41" fontId="6" fillId="0" borderId="0" xfId="2" applyFont="1" applyFill="1"/>
    <xf numFmtId="0" fontId="21" fillId="0" borderId="0" xfId="0" applyFont="1" applyAlignment="1">
      <alignment horizontal="center"/>
    </xf>
    <xf numFmtId="41" fontId="21" fillId="0" borderId="0" xfId="2" applyFont="1" applyFill="1" applyBorder="1"/>
    <xf numFmtId="0" fontId="21" fillId="0" borderId="0" xfId="0" applyFont="1"/>
    <xf numFmtId="41" fontId="7" fillId="0" borderId="0" xfId="2" applyFont="1" applyFill="1" applyBorder="1" applyAlignment="1">
      <alignment horizontal="center" vertical="top" wrapText="1"/>
    </xf>
    <xf numFmtId="0" fontId="4" fillId="0" borderId="8" xfId="0" applyFont="1" applyBorder="1"/>
    <xf numFmtId="0" fontId="4" fillId="0" borderId="0" xfId="0" applyFont="1" applyAlignment="1">
      <alignment vertical="top"/>
    </xf>
    <xf numFmtId="0" fontId="22" fillId="0" borderId="0" xfId="0" applyFont="1" applyAlignment="1">
      <alignment horizontal="center" vertical="top"/>
    </xf>
    <xf numFmtId="41" fontId="22" fillId="0" borderId="0" xfId="2" applyFont="1" applyFill="1" applyBorder="1" applyAlignment="1">
      <alignment horizontal="center" vertical="top"/>
    </xf>
    <xf numFmtId="41" fontId="23" fillId="0" borderId="0" xfId="2" applyFont="1" applyFill="1" applyBorder="1" applyAlignment="1">
      <alignment horizontal="center" vertical="top" wrapText="1"/>
    </xf>
    <xf numFmtId="41" fontId="23" fillId="0" borderId="0" xfId="2" applyFont="1" applyFill="1" applyBorder="1" applyAlignment="1">
      <alignment horizontal="right" vertical="top"/>
    </xf>
    <xf numFmtId="0" fontId="20" fillId="0" borderId="0" xfId="0" applyFont="1" applyAlignment="1">
      <alignment horizontal="center" vertical="center"/>
    </xf>
    <xf numFmtId="41" fontId="20" fillId="0" borderId="0" xfId="2" applyFont="1" applyFill="1" applyBorder="1"/>
    <xf numFmtId="166" fontId="20" fillId="0" borderId="0" xfId="0" applyNumberFormat="1" applyFont="1"/>
    <xf numFmtId="0" fontId="24" fillId="0" borderId="9" xfId="0" applyFont="1" applyBorder="1"/>
    <xf numFmtId="0" fontId="24" fillId="0" borderId="10" xfId="0" applyFont="1" applyBorder="1"/>
    <xf numFmtId="0" fontId="2" fillId="0" borderId="8" xfId="0" applyFont="1" applyBorder="1"/>
    <xf numFmtId="0" fontId="13" fillId="0" borderId="0" xfId="0" applyFont="1" applyAlignment="1">
      <alignment vertical="top"/>
    </xf>
    <xf numFmtId="164" fontId="25" fillId="0" borderId="0" xfId="0" applyNumberFormat="1" applyFont="1"/>
    <xf numFmtId="41" fontId="15" fillId="0" borderId="0" xfId="2" applyFont="1" applyFill="1" applyBorder="1" applyAlignment="1">
      <alignment horizontal="right" vertical="top"/>
    </xf>
    <xf numFmtId="0" fontId="16" fillId="0" borderId="0" xfId="0" applyFont="1" applyAlignment="1">
      <alignment horizontal="center" vertical="center"/>
    </xf>
    <xf numFmtId="0" fontId="25" fillId="0" borderId="9" xfId="0" applyFont="1" applyBorder="1"/>
    <xf numFmtId="0" fontId="25" fillId="0" borderId="10" xfId="0" applyFont="1" applyBorder="1"/>
    <xf numFmtId="0" fontId="2" fillId="0" borderId="3" xfId="0" applyFont="1" applyBorder="1" applyAlignment="1">
      <alignment horizontal="center" vertical="center"/>
    </xf>
    <xf numFmtId="41" fontId="6" fillId="2" borderId="0" xfId="2" applyFont="1" applyFill="1" applyBorder="1" applyAlignment="1">
      <alignment horizontal="right" vertical="center" wrapText="1"/>
    </xf>
    <xf numFmtId="0" fontId="2" fillId="0" borderId="0" xfId="0" applyFont="1" applyAlignment="1">
      <alignment horizontal="center" vertical="top"/>
    </xf>
    <xf numFmtId="0" fontId="5" fillId="0" borderId="0" xfId="0" applyFont="1" applyAlignment="1">
      <alignment vertical="top"/>
    </xf>
    <xf numFmtId="41" fontId="5" fillId="0" borderId="0" xfId="2" applyFont="1" applyFill="1" applyBorder="1" applyAlignment="1">
      <alignment vertical="top"/>
    </xf>
    <xf numFmtId="165" fontId="4" fillId="0" borderId="8" xfId="2" applyNumberFormat="1" applyFont="1" applyFill="1" applyBorder="1" applyAlignment="1">
      <alignment horizontal="center" vertical="center"/>
    </xf>
    <xf numFmtId="165" fontId="4" fillId="0" borderId="0" xfId="0" applyNumberFormat="1" applyFont="1" applyAlignment="1">
      <alignment vertical="top"/>
    </xf>
    <xf numFmtId="166" fontId="8" fillId="0" borderId="0" xfId="0" applyNumberFormat="1" applyFont="1"/>
    <xf numFmtId="0" fontId="20" fillId="0" borderId="3" xfId="0" applyFont="1" applyBorder="1" applyAlignment="1">
      <alignment horizontal="center" vertical="top"/>
    </xf>
    <xf numFmtId="172" fontId="20" fillId="0" borderId="0" xfId="0" applyNumberFormat="1" applyFont="1" applyAlignment="1">
      <alignment horizontal="center" vertical="center"/>
    </xf>
    <xf numFmtId="41" fontId="22" fillId="0" borderId="0" xfId="2" applyFont="1" applyFill="1" applyBorder="1" applyAlignment="1">
      <alignment horizontal="center" vertical="top" wrapText="1" shrinkToFit="1"/>
    </xf>
    <xf numFmtId="0" fontId="26" fillId="0" borderId="0" xfId="0" applyFont="1" applyAlignment="1">
      <alignment vertical="top"/>
    </xf>
    <xf numFmtId="41" fontId="27" fillId="0" borderId="0" xfId="2" applyFont="1" applyFill="1" applyBorder="1"/>
    <xf numFmtId="41" fontId="26" fillId="0" borderId="0" xfId="2" applyFont="1" applyFill="1" applyBorder="1"/>
    <xf numFmtId="168" fontId="20" fillId="0" borderId="0" xfId="2" applyNumberFormat="1" applyFont="1" applyFill="1" applyBorder="1"/>
    <xf numFmtId="164" fontId="24" fillId="0" borderId="0" xfId="0" applyNumberFormat="1" applyFont="1"/>
    <xf numFmtId="43" fontId="24" fillId="0" borderId="0" xfId="1" applyFont="1" applyFill="1" applyBorder="1"/>
    <xf numFmtId="166" fontId="24" fillId="0" borderId="9" xfId="0" applyNumberFormat="1" applyFont="1" applyBorder="1"/>
    <xf numFmtId="41" fontId="19" fillId="0" borderId="0" xfId="2" applyFont="1" applyFill="1" applyBorder="1" applyAlignment="1">
      <alignment horizontal="right" vertical="top"/>
    </xf>
    <xf numFmtId="0" fontId="20" fillId="0" borderId="0" xfId="0" applyFont="1" applyAlignment="1">
      <alignment horizontal="center"/>
    </xf>
    <xf numFmtId="0" fontId="20" fillId="0" borderId="0" xfId="0" applyFont="1"/>
    <xf numFmtId="0" fontId="28" fillId="0" borderId="0" xfId="0" applyFont="1" applyAlignment="1">
      <alignment horizontal="center" vertical="top" wrapText="1"/>
    </xf>
    <xf numFmtId="0" fontId="29" fillId="0" borderId="0" xfId="0" applyFont="1" applyAlignment="1">
      <alignment horizontal="center" vertical="top" wrapText="1"/>
    </xf>
    <xf numFmtId="0" fontId="29" fillId="0" borderId="0" xfId="0" applyFont="1" applyAlignment="1">
      <alignment horizontal="center" vertical="top" wrapText="1" shrinkToFit="1"/>
    </xf>
    <xf numFmtId="41" fontId="30" fillId="0" borderId="0" xfId="2" applyFont="1" applyAlignment="1">
      <alignment horizontal="center" vertical="top" wrapText="1"/>
    </xf>
    <xf numFmtId="41" fontId="30" fillId="0" borderId="0" xfId="2" applyFont="1" applyFill="1" applyBorder="1" applyAlignment="1">
      <alignment horizontal="center" vertical="top" wrapText="1"/>
    </xf>
    <xf numFmtId="0" fontId="30" fillId="0" borderId="0" xfId="0" applyFont="1" applyAlignment="1">
      <alignment horizontal="center" vertical="top" wrapText="1"/>
    </xf>
    <xf numFmtId="0" fontId="31" fillId="0" borderId="0" xfId="0" applyFont="1" applyAlignment="1">
      <alignment horizontal="center" vertical="top"/>
    </xf>
    <xf numFmtId="0" fontId="0" fillId="0" borderId="12" xfId="0" applyBorder="1"/>
    <xf numFmtId="0" fontId="0" fillId="0" borderId="13" xfId="0" applyBorder="1"/>
    <xf numFmtId="0" fontId="12" fillId="3" borderId="8" xfId="0" applyFont="1" applyFill="1" applyBorder="1" applyAlignment="1">
      <alignment horizontal="center" vertical="center" wrapText="1"/>
    </xf>
    <xf numFmtId="0" fontId="30" fillId="0" borderId="0" xfId="0" applyFont="1" applyAlignment="1">
      <alignment horizontal="center" vertical="center" wrapText="1"/>
    </xf>
    <xf numFmtId="0" fontId="32" fillId="0" borderId="0" xfId="0" applyFont="1" applyAlignment="1">
      <alignment horizontal="center"/>
    </xf>
    <xf numFmtId="0" fontId="31" fillId="0" borderId="0" xfId="0" applyFont="1" applyAlignment="1">
      <alignment horizontal="center"/>
    </xf>
    <xf numFmtId="41" fontId="31" fillId="0" borderId="0" xfId="2" applyFont="1" applyFill="1" applyBorder="1"/>
    <xf numFmtId="0" fontId="31" fillId="0" borderId="0" xfId="0" applyFont="1"/>
    <xf numFmtId="0" fontId="12" fillId="3" borderId="8" xfId="0" applyFont="1" applyFill="1" applyBorder="1" applyAlignment="1">
      <alignment horizontal="center" vertical="center"/>
    </xf>
    <xf numFmtId="43" fontId="12" fillId="3" borderId="11" xfId="1" applyFont="1" applyFill="1" applyBorder="1" applyAlignment="1">
      <alignment vertical="center"/>
    </xf>
    <xf numFmtId="0" fontId="12" fillId="3" borderId="11" xfId="0" applyFont="1" applyFill="1" applyBorder="1" applyAlignment="1">
      <alignment vertical="center"/>
    </xf>
    <xf numFmtId="2" fontId="12" fillId="0" borderId="8" xfId="0" applyNumberFormat="1" applyFont="1" applyFill="1" applyBorder="1" applyAlignment="1">
      <alignment horizontal="center"/>
    </xf>
    <xf numFmtId="0" fontId="4" fillId="0" borderId="8" xfId="0" applyFont="1" applyFill="1" applyBorder="1" applyAlignment="1">
      <alignment horizontal="center" vertical="center"/>
    </xf>
    <xf numFmtId="0" fontId="10" fillId="0" borderId="8" xfId="0" applyFont="1" applyFill="1" applyBorder="1" applyAlignment="1">
      <alignment horizontal="center"/>
    </xf>
    <xf numFmtId="167" fontId="10" fillId="0" borderId="8" xfId="0" applyNumberFormat="1" applyFont="1" applyFill="1" applyBorder="1"/>
    <xf numFmtId="0" fontId="12" fillId="0" borderId="8" xfId="0" applyFont="1" applyFill="1" applyBorder="1" applyAlignment="1">
      <alignment horizontal="right"/>
    </xf>
    <xf numFmtId="168" fontId="12" fillId="0" borderId="8" xfId="2" applyNumberFormat="1" applyFont="1" applyFill="1" applyBorder="1" applyAlignment="1">
      <alignment horizontal="right"/>
    </xf>
    <xf numFmtId="0" fontId="12" fillId="0" borderId="8" xfId="0" applyFont="1" applyFill="1" applyBorder="1" applyAlignment="1">
      <alignment horizontal="center"/>
    </xf>
    <xf numFmtId="0" fontId="4" fillId="0" borderId="8" xfId="0" applyFont="1" applyFill="1" applyBorder="1" applyAlignment="1">
      <alignment horizontal="center"/>
    </xf>
    <xf numFmtId="171" fontId="4" fillId="0" borderId="8" xfId="0" applyNumberFormat="1" applyFont="1" applyFill="1" applyBorder="1" applyAlignment="1">
      <alignment horizontal="center"/>
    </xf>
    <xf numFmtId="167" fontId="4" fillId="0" borderId="8" xfId="0" applyNumberFormat="1" applyFont="1" applyFill="1" applyBorder="1"/>
    <xf numFmtId="0" fontId="10" fillId="0" borderId="8" xfId="0" applyFont="1" applyFill="1" applyBorder="1" applyAlignment="1">
      <alignment horizontal="right"/>
    </xf>
    <xf numFmtId="43" fontId="4" fillId="0" borderId="8" xfId="0" applyNumberFormat="1" applyFont="1" applyFill="1" applyBorder="1" applyAlignment="1">
      <alignment horizontal="center" vertical="center"/>
    </xf>
    <xf numFmtId="167" fontId="12" fillId="0" borderId="8" xfId="0" applyNumberFormat="1" applyFont="1" applyFill="1" applyBorder="1"/>
    <xf numFmtId="0" fontId="12" fillId="3" borderId="11" xfId="0" applyFont="1" applyFill="1" applyBorder="1" applyAlignment="1">
      <alignment horizontal="center" vertical="center"/>
    </xf>
    <xf numFmtId="43" fontId="12" fillId="3" borderId="2" xfId="1" applyFont="1" applyFill="1" applyBorder="1" applyAlignment="1">
      <alignment vertical="center"/>
    </xf>
    <xf numFmtId="0" fontId="12" fillId="3" borderId="2" xfId="0" applyFont="1" applyFill="1" applyBorder="1" applyAlignment="1">
      <alignment vertical="center"/>
    </xf>
    <xf numFmtId="1" fontId="2" fillId="0" borderId="8" xfId="0" applyNumberFormat="1" applyFont="1" applyFill="1" applyBorder="1" applyAlignment="1">
      <alignment horizontal="right" vertical="top"/>
    </xf>
    <xf numFmtId="0" fontId="3" fillId="0" borderId="8" xfId="0" applyFont="1" applyFill="1" applyBorder="1" applyAlignment="1">
      <alignment horizontal="lef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2" fillId="0" borderId="8" xfId="0" applyFont="1" applyFill="1" applyBorder="1" applyAlignment="1">
      <alignment horizontal="center" vertical="center"/>
    </xf>
    <xf numFmtId="0" fontId="2" fillId="0" borderId="8" xfId="0" applyFont="1" applyFill="1" applyBorder="1" applyAlignment="1">
      <alignment horizontal="right" vertical="center"/>
    </xf>
    <xf numFmtId="0" fontId="2" fillId="0" borderId="8" xfId="0" applyFont="1" applyFill="1" applyBorder="1" applyAlignment="1">
      <alignment horizontal="center"/>
    </xf>
    <xf numFmtId="165" fontId="4" fillId="0" borderId="8" xfId="2" applyNumberFormat="1" applyFont="1" applyFill="1" applyBorder="1" applyAlignment="1">
      <alignment vertical="center"/>
    </xf>
    <xf numFmtId="165" fontId="4" fillId="0" borderId="8" xfId="2" applyNumberFormat="1" applyFont="1" applyFill="1" applyBorder="1" applyAlignment="1"/>
    <xf numFmtId="2" fontId="4" fillId="0" borderId="8" xfId="0" applyNumberFormat="1" applyFont="1" applyFill="1" applyBorder="1" applyAlignment="1">
      <alignment horizontal="center" vertical="center"/>
    </xf>
    <xf numFmtId="43" fontId="4" fillId="0" borderId="8" xfId="1" applyFont="1" applyFill="1" applyBorder="1" applyAlignment="1">
      <alignment vertical="center"/>
    </xf>
    <xf numFmtId="167" fontId="4" fillId="0" borderId="8" xfId="1" applyNumberFormat="1" applyFont="1" applyFill="1" applyBorder="1" applyAlignment="1">
      <alignment vertical="center"/>
    </xf>
    <xf numFmtId="0" fontId="4" fillId="0" borderId="8" xfId="0" applyFont="1" applyFill="1" applyBorder="1" applyAlignment="1">
      <alignment horizontal="center" vertical="center" wrapText="1"/>
    </xf>
    <xf numFmtId="1" fontId="10" fillId="0" borderId="8" xfId="0" applyNumberFormat="1" applyFont="1" applyFill="1" applyBorder="1" applyAlignment="1">
      <alignment horizontal="right" vertical="top"/>
    </xf>
    <xf numFmtId="0" fontId="11" fillId="0" borderId="8" xfId="0" applyFont="1" applyFill="1" applyBorder="1" applyAlignment="1">
      <alignment horizontal="left" vertical="center" wrapText="1"/>
    </xf>
    <xf numFmtId="0" fontId="10" fillId="0" borderId="8" xfId="0" applyFont="1" applyFill="1" applyBorder="1" applyAlignment="1">
      <alignment vertical="center" wrapText="1"/>
    </xf>
    <xf numFmtId="0" fontId="10" fillId="0" borderId="8" xfId="0" applyFont="1" applyFill="1" applyBorder="1" applyAlignment="1">
      <alignment horizontal="left" vertical="center" wrapText="1"/>
    </xf>
    <xf numFmtId="0" fontId="10" fillId="0" borderId="8" xfId="0" applyFont="1" applyFill="1" applyBorder="1" applyAlignment="1">
      <alignment horizontal="center" vertical="center"/>
    </xf>
    <xf numFmtId="0" fontId="10" fillId="0" borderId="8" xfId="0" applyFont="1" applyFill="1" applyBorder="1" applyAlignment="1">
      <alignment horizontal="right" vertical="center"/>
    </xf>
    <xf numFmtId="165" fontId="12" fillId="0" borderId="8" xfId="2" applyNumberFormat="1" applyFont="1" applyFill="1" applyBorder="1" applyAlignment="1">
      <alignment vertical="center"/>
    </xf>
    <xf numFmtId="165" fontId="12" fillId="0" borderId="8" xfId="2" applyNumberFormat="1" applyFont="1" applyFill="1" applyBorder="1" applyAlignment="1"/>
    <xf numFmtId="0" fontId="11" fillId="0" borderId="8" xfId="0" quotePrefix="1" applyFont="1" applyFill="1" applyBorder="1" applyAlignment="1">
      <alignment horizontal="left" vertical="center" wrapText="1"/>
    </xf>
    <xf numFmtId="0" fontId="17" fillId="0" borderId="8" xfId="0" applyFont="1" applyFill="1" applyBorder="1" applyAlignment="1">
      <alignment horizontal="right" vertical="center"/>
    </xf>
    <xf numFmtId="0" fontId="17" fillId="0" borderId="8" xfId="0" applyFont="1" applyFill="1" applyBorder="1" applyAlignment="1">
      <alignment horizontal="center"/>
    </xf>
    <xf numFmtId="168" fontId="10" fillId="0" borderId="8" xfId="0" applyNumberFormat="1" applyFont="1" applyFill="1" applyBorder="1" applyAlignment="1">
      <alignment horizontal="right" vertical="top"/>
    </xf>
    <xf numFmtId="0" fontId="18" fillId="0" borderId="8" xfId="0" applyFont="1" applyFill="1" applyBorder="1" applyAlignment="1">
      <alignment horizontal="right" vertical="center"/>
    </xf>
    <xf numFmtId="0" fontId="18" fillId="0" borderId="8" xfId="0" applyFont="1" applyFill="1" applyBorder="1" applyAlignment="1">
      <alignment horizontal="center"/>
    </xf>
    <xf numFmtId="168" fontId="2" fillId="0" borderId="8" xfId="0" applyNumberFormat="1" applyFont="1" applyFill="1" applyBorder="1" applyAlignment="1">
      <alignment horizontal="right" vertical="top"/>
    </xf>
    <xf numFmtId="0" fontId="12" fillId="0" borderId="8" xfId="0" applyFont="1" applyFill="1" applyBorder="1"/>
    <xf numFmtId="1" fontId="2" fillId="0" borderId="8" xfId="0" applyNumberFormat="1" applyFont="1" applyFill="1" applyBorder="1" applyAlignment="1">
      <alignment horizontal="center" vertical="top"/>
    </xf>
    <xf numFmtId="2" fontId="2" fillId="0" borderId="8" xfId="1" applyNumberFormat="1" applyFont="1" applyFill="1" applyBorder="1" applyAlignment="1">
      <alignment horizontal="center" vertical="center"/>
    </xf>
    <xf numFmtId="167" fontId="2" fillId="0" borderId="8" xfId="1" applyNumberFormat="1" applyFont="1" applyFill="1" applyBorder="1" applyAlignment="1">
      <alignment vertical="center"/>
    </xf>
    <xf numFmtId="2" fontId="2" fillId="0" borderId="8" xfId="0" applyNumberFormat="1" applyFont="1" applyFill="1" applyBorder="1" applyAlignment="1">
      <alignment horizontal="center" vertical="center"/>
    </xf>
    <xf numFmtId="165" fontId="2" fillId="0" borderId="8" xfId="2" applyNumberFormat="1" applyFont="1" applyFill="1" applyBorder="1" applyAlignment="1">
      <alignment vertical="center"/>
    </xf>
    <xf numFmtId="2" fontId="2" fillId="0" borderId="8" xfId="0" applyNumberFormat="1" applyFont="1" applyFill="1" applyBorder="1" applyAlignment="1">
      <alignment horizontal="center"/>
    </xf>
    <xf numFmtId="168" fontId="2" fillId="0" borderId="8" xfId="2" applyNumberFormat="1" applyFont="1" applyFill="1" applyBorder="1" applyAlignment="1">
      <alignment vertical="top"/>
    </xf>
    <xf numFmtId="1" fontId="12" fillId="3" borderId="2" xfId="0" applyNumberFormat="1" applyFont="1" applyFill="1" applyBorder="1" applyAlignment="1">
      <alignment horizontal="center" vertical="center"/>
    </xf>
    <xf numFmtId="0" fontId="12" fillId="3" borderId="2" xfId="0" applyFont="1" applyFill="1" applyBorder="1" applyAlignment="1">
      <alignment horizontal="center" vertical="center" wrapText="1"/>
    </xf>
    <xf numFmtId="0" fontId="12" fillId="3" borderId="2" xfId="0" applyFont="1" applyFill="1" applyBorder="1" applyAlignment="1">
      <alignment horizontal="center" vertical="center"/>
    </xf>
    <xf numFmtId="41" fontId="12" fillId="3" borderId="2" xfId="2" applyFont="1" applyFill="1" applyBorder="1" applyAlignment="1">
      <alignment horizontal="center" vertical="center"/>
    </xf>
    <xf numFmtId="41" fontId="34" fillId="0" borderId="0" xfId="2" applyFont="1" applyAlignment="1">
      <alignment vertical="top"/>
    </xf>
    <xf numFmtId="41" fontId="1" fillId="0" borderId="0" xfId="2" applyFont="1" applyAlignment="1">
      <alignment vertical="top"/>
    </xf>
    <xf numFmtId="164" fontId="34" fillId="4" borderId="0" xfId="2" applyNumberFormat="1" applyFont="1" applyFill="1" applyBorder="1" applyAlignment="1">
      <alignment horizontal="left" vertical="top" wrapText="1" readingOrder="1"/>
    </xf>
    <xf numFmtId="167" fontId="34" fillId="4" borderId="0" xfId="2" applyNumberFormat="1" applyFont="1" applyFill="1" applyBorder="1" applyAlignment="1">
      <alignment horizontal="left" vertical="top" wrapText="1"/>
    </xf>
    <xf numFmtId="41" fontId="34" fillId="0" borderId="0" xfId="2" applyFont="1" applyBorder="1" applyAlignment="1">
      <alignment vertical="top"/>
    </xf>
    <xf numFmtId="164" fontId="34" fillId="4" borderId="0" xfId="2" applyNumberFormat="1" applyFont="1" applyFill="1" applyBorder="1" applyAlignment="1">
      <alignment horizontal="left" vertical="top" wrapText="1"/>
    </xf>
    <xf numFmtId="164" fontId="1" fillId="0" borderId="0" xfId="2" applyNumberFormat="1" applyFont="1" applyFill="1" applyBorder="1" applyAlignment="1">
      <alignment horizontal="left" vertical="top" wrapText="1" readingOrder="1"/>
    </xf>
    <xf numFmtId="164" fontId="34" fillId="4" borderId="0" xfId="1" applyNumberFormat="1" applyFont="1" applyFill="1" applyBorder="1" applyAlignment="1">
      <alignment horizontal="left" vertical="top" wrapText="1"/>
    </xf>
    <xf numFmtId="41" fontId="34" fillId="0" borderId="0" xfId="2" applyFont="1" applyBorder="1" applyAlignment="1">
      <alignment horizontal="right" vertical="top"/>
    </xf>
    <xf numFmtId="41" fontId="0" fillId="0" borderId="0" xfId="2" applyFont="1" applyAlignment="1">
      <alignment vertical="top"/>
    </xf>
    <xf numFmtId="41" fontId="34" fillId="4" borderId="0" xfId="2" applyFont="1" applyFill="1" applyBorder="1" applyAlignment="1">
      <alignment vertical="top"/>
    </xf>
    <xf numFmtId="41" fontId="34" fillId="4" borderId="0" xfId="2" applyFont="1" applyFill="1" applyBorder="1" applyAlignment="1">
      <alignment horizontal="right" vertical="top"/>
    </xf>
    <xf numFmtId="41" fontId="0" fillId="4" borderId="0" xfId="2" applyFont="1" applyFill="1" applyAlignment="1">
      <alignment vertical="top"/>
    </xf>
    <xf numFmtId="164" fontId="0" fillId="0" borderId="0" xfId="2" applyNumberFormat="1" applyFont="1" applyFill="1" applyBorder="1" applyAlignment="1">
      <alignment horizontal="left" vertical="top" wrapText="1" readingOrder="1"/>
    </xf>
    <xf numFmtId="164" fontId="34" fillId="0" borderId="0" xfId="2" applyNumberFormat="1" applyFont="1" applyFill="1" applyBorder="1" applyAlignment="1">
      <alignment vertical="center" wrapText="1"/>
    </xf>
    <xf numFmtId="41" fontId="34" fillId="0" borderId="0" xfId="2" applyFont="1" applyFill="1" applyBorder="1" applyAlignment="1">
      <alignment vertical="top" wrapText="1"/>
    </xf>
    <xf numFmtId="167" fontId="33" fillId="0" borderId="0" xfId="0" applyNumberFormat="1" applyFont="1"/>
    <xf numFmtId="41" fontId="35" fillId="0" borderId="9" xfId="0" applyNumberFormat="1" applyFont="1" applyBorder="1"/>
    <xf numFmtId="41" fontId="4" fillId="0" borderId="8" xfId="2" applyFont="1" applyFill="1" applyBorder="1" applyAlignment="1">
      <alignment vertical="center"/>
    </xf>
    <xf numFmtId="41" fontId="12" fillId="0" borderId="8" xfId="0" applyNumberFormat="1" applyFont="1" applyFill="1" applyBorder="1"/>
    <xf numFmtId="0" fontId="37" fillId="0" borderId="0" xfId="0" applyFont="1" applyFill="1" applyAlignment="1">
      <alignment horizontal="left" vertical="top"/>
    </xf>
    <xf numFmtId="0" fontId="38" fillId="0" borderId="0" xfId="0" applyFont="1" applyFill="1" applyAlignment="1"/>
    <xf numFmtId="0" fontId="39" fillId="0" borderId="0" xfId="0" applyFont="1" applyFill="1" applyBorder="1" applyAlignment="1">
      <alignment horizontal="center"/>
    </xf>
    <xf numFmtId="0" fontId="29" fillId="0" borderId="0" xfId="0" applyFont="1" applyFill="1" applyBorder="1" applyAlignment="1">
      <alignment horizontal="center"/>
    </xf>
    <xf numFmtId="0" fontId="34" fillId="0" borderId="0" xfId="0" applyFont="1" applyFill="1" applyBorder="1"/>
    <xf numFmtId="164" fontId="34" fillId="0" borderId="0" xfId="2" applyNumberFormat="1" applyFont="1" applyFill="1" applyBorder="1" applyAlignment="1">
      <alignment horizontal="right" vertical="center"/>
    </xf>
    <xf numFmtId="173" fontId="1" fillId="0" borderId="0" xfId="1" applyNumberFormat="1" applyFont="1" applyAlignment="1">
      <alignment vertical="top"/>
    </xf>
    <xf numFmtId="0" fontId="40" fillId="0" borderId="0" xfId="0" applyFont="1" applyAlignment="1">
      <alignment vertical="top"/>
    </xf>
    <xf numFmtId="0" fontId="0" fillId="0" borderId="0" xfId="0" applyAlignment="1">
      <alignment vertical="top"/>
    </xf>
    <xf numFmtId="0" fontId="39" fillId="0" borderId="0" xfId="0" applyFont="1" applyFill="1" applyBorder="1" applyAlignment="1">
      <alignment horizontal="left" vertical="top"/>
    </xf>
    <xf numFmtId="0" fontId="39" fillId="0" borderId="0" xfId="0" applyFont="1" applyFill="1" applyBorder="1" applyAlignment="1">
      <alignment horizontal="left"/>
    </xf>
    <xf numFmtId="0" fontId="39" fillId="4" borderId="0" xfId="0" applyFont="1" applyFill="1" applyBorder="1" applyAlignment="1">
      <alignment horizontal="center"/>
    </xf>
    <xf numFmtId="0" fontId="39" fillId="0" borderId="0" xfId="0" applyFont="1" applyFill="1" applyBorder="1" applyAlignment="1">
      <alignment horizontal="center" wrapText="1"/>
    </xf>
    <xf numFmtId="0" fontId="42" fillId="0" borderId="0" xfId="0" applyFont="1" applyFill="1" applyBorder="1" applyAlignment="1">
      <alignment horizontal="left"/>
    </xf>
    <xf numFmtId="0" fontId="43" fillId="0" borderId="0" xfId="0" applyFont="1" applyFill="1" applyBorder="1" applyAlignment="1">
      <alignment horizontal="left"/>
    </xf>
    <xf numFmtId="0" fontId="39" fillId="0" borderId="0" xfId="0" applyFont="1" applyFill="1" applyBorder="1" applyAlignment="1">
      <alignment horizontal="center"/>
    </xf>
    <xf numFmtId="41" fontId="0" fillId="0" borderId="0" xfId="2" applyFont="1"/>
    <xf numFmtId="41" fontId="0" fillId="0" borderId="12" xfId="2" applyFont="1" applyBorder="1"/>
    <xf numFmtId="41" fontId="24" fillId="0" borderId="9" xfId="2" applyFont="1" applyBorder="1"/>
    <xf numFmtId="41" fontId="25" fillId="0" borderId="9" xfId="2" applyFont="1" applyBorder="1"/>
    <xf numFmtId="41" fontId="35" fillId="0" borderId="9" xfId="2" applyFont="1" applyBorder="1"/>
    <xf numFmtId="0" fontId="36" fillId="0" borderId="0" xfId="0" applyFont="1" applyFill="1" applyAlignment="1">
      <alignment horizontal="left" vertical="top"/>
    </xf>
    <xf numFmtId="0" fontId="39" fillId="0" borderId="0" xfId="0" applyFont="1" applyFill="1" applyBorder="1" applyAlignment="1">
      <alignment horizontal="center"/>
    </xf>
    <xf numFmtId="0" fontId="41" fillId="0" borderId="0" xfId="0" applyFont="1" applyFill="1" applyAlignment="1">
      <alignment horizontal="left"/>
    </xf>
    <xf numFmtId="0" fontId="12" fillId="0" borderId="8" xfId="0" applyFont="1" applyFill="1" applyBorder="1" applyAlignment="1">
      <alignment horizontal="center"/>
    </xf>
    <xf numFmtId="1" fontId="12" fillId="3" borderId="2" xfId="0" applyNumberFormat="1" applyFont="1" applyFill="1" applyBorder="1" applyAlignment="1">
      <alignment horizontal="center" vertical="center"/>
    </xf>
    <xf numFmtId="0" fontId="12" fillId="3" borderId="2" xfId="0" applyFont="1" applyFill="1" applyBorder="1" applyAlignment="1">
      <alignment horizontal="center" vertical="center" wrapText="1"/>
    </xf>
    <xf numFmtId="0" fontId="12" fillId="3" borderId="2" xfId="0" applyFont="1" applyFill="1" applyBorder="1" applyAlignment="1">
      <alignment horizontal="center" vertical="center"/>
    </xf>
    <xf numFmtId="0" fontId="12" fillId="3" borderId="5" xfId="0" applyFont="1" applyFill="1" applyBorder="1" applyAlignment="1">
      <alignment horizontal="center" vertical="center" wrapText="1"/>
    </xf>
    <xf numFmtId="0" fontId="12" fillId="3" borderId="7" xfId="0" applyFont="1" applyFill="1" applyBorder="1" applyAlignment="1">
      <alignment horizontal="center" vertical="center" wrapText="1"/>
    </xf>
    <xf numFmtId="41" fontId="12" fillId="3" borderId="5" xfId="2" applyFont="1" applyFill="1" applyBorder="1" applyAlignment="1">
      <alignment horizontal="center" vertical="center" wrapText="1"/>
    </xf>
    <xf numFmtId="41" fontId="12" fillId="3" borderId="7" xfId="2"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2" fillId="3" borderId="5"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14" xfId="0" applyFont="1" applyFill="1" applyBorder="1" applyAlignment="1">
      <alignment horizontal="center" vertical="center"/>
    </xf>
    <xf numFmtId="0" fontId="12" fillId="3" borderId="15" xfId="0" applyFont="1" applyFill="1" applyBorder="1" applyAlignment="1">
      <alignment horizontal="center" vertical="center"/>
    </xf>
    <xf numFmtId="41" fontId="12" fillId="3" borderId="11" xfId="2" applyFont="1" applyFill="1" applyBorder="1" applyAlignment="1">
      <alignment horizontal="center" vertical="center"/>
    </xf>
    <xf numFmtId="41" fontId="12" fillId="3" borderId="2" xfId="2" applyFont="1" applyFill="1" applyBorder="1" applyAlignment="1">
      <alignment horizontal="center" vertical="center"/>
    </xf>
    <xf numFmtId="0" fontId="12" fillId="3" borderId="16" xfId="0" applyFont="1" applyFill="1" applyBorder="1" applyAlignment="1">
      <alignment horizontal="center" vertical="center"/>
    </xf>
    <xf numFmtId="41" fontId="0" fillId="0" borderId="0" xfId="0" applyNumberFormat="1"/>
  </cellXfs>
  <cellStyles count="3">
    <cellStyle name="Comma" xfId="1" builtinId="3"/>
    <cellStyle name="Comma [0]" xfId="2"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S110"/>
  <sheetViews>
    <sheetView tabSelected="1" topLeftCell="K3" zoomScale="115" zoomScaleNormal="115" workbookViewId="0">
      <selection activeCell="AA39" sqref="AA39"/>
    </sheetView>
  </sheetViews>
  <sheetFormatPr defaultRowHeight="15" x14ac:dyDescent="0.25"/>
  <cols>
    <col min="1" max="1" width="6.28515625" customWidth="1"/>
    <col min="2" max="2" width="16.28515625" customWidth="1"/>
    <col min="3" max="3" width="29.140625" customWidth="1"/>
    <col min="4" max="4" width="38.5703125" customWidth="1"/>
    <col min="5" max="5" width="10.140625" customWidth="1"/>
    <col min="6" max="9" width="0" hidden="1" customWidth="1"/>
    <col min="10" max="10" width="8.140625" customWidth="1"/>
    <col min="11" max="11" width="19" customWidth="1"/>
    <col min="12" max="12" width="19.7109375" customWidth="1"/>
    <col min="13" max="13" width="10.140625" customWidth="1"/>
    <col min="14" max="14" width="23.7109375" customWidth="1"/>
    <col min="15" max="15" width="7.140625" customWidth="1"/>
    <col min="16" max="16" width="15.28515625" customWidth="1"/>
    <col min="17" max="17" width="8.140625" customWidth="1"/>
    <col min="18" max="18" width="15.28515625" customWidth="1"/>
    <col min="19" max="19" width="6.7109375" customWidth="1"/>
    <col min="20" max="20" width="11.140625" customWidth="1"/>
    <col min="21" max="21" width="9.42578125" customWidth="1"/>
    <col min="22" max="22" width="23.5703125" customWidth="1"/>
    <col min="23" max="23" width="7.140625" customWidth="1"/>
    <col min="24" max="24" width="10.85546875" customWidth="1"/>
    <col min="25" max="25" width="9.85546875" customWidth="1"/>
    <col min="26" max="26" width="9" customWidth="1"/>
    <col min="27" max="27" width="14" customWidth="1"/>
    <col min="28" max="28" width="6.85546875" customWidth="1"/>
    <col min="29" max="29" width="11.5703125" customWidth="1"/>
    <col min="30" max="30" width="11.85546875" customWidth="1"/>
    <col min="31" max="39" width="0" hidden="1" customWidth="1"/>
    <col min="40" max="40" width="22.28515625" hidden="1" customWidth="1"/>
    <col min="41" max="41" width="23.42578125" hidden="1" customWidth="1"/>
    <col min="42" max="42" width="10.140625" hidden="1" customWidth="1"/>
    <col min="43" max="43" width="11.5703125" hidden="1" customWidth="1"/>
    <col min="44" max="44" width="16.42578125" hidden="1" customWidth="1"/>
    <col min="45" max="45" width="29.7109375" hidden="1" customWidth="1"/>
    <col min="46" max="48" width="0" hidden="1" customWidth="1"/>
    <col min="49" max="49" width="10.42578125" hidden="1" customWidth="1"/>
    <col min="51" max="51" width="18" customWidth="1"/>
    <col min="52" max="52" width="19.42578125" customWidth="1"/>
    <col min="53" max="53" width="18.140625" customWidth="1"/>
    <col min="54" max="54" width="18.42578125" style="193" customWidth="1"/>
    <col min="55" max="55" width="20.85546875" customWidth="1"/>
  </cols>
  <sheetData>
    <row r="1" spans="1:96" ht="23.25" x14ac:dyDescent="0.35">
      <c r="A1" s="199" t="s">
        <v>295</v>
      </c>
      <c r="B1" s="199"/>
      <c r="C1" s="199"/>
      <c r="D1" s="199"/>
      <c r="E1" s="199"/>
      <c r="F1" s="199"/>
      <c r="G1" s="199"/>
      <c r="H1" s="199"/>
      <c r="I1" s="199"/>
      <c r="J1" s="199"/>
      <c r="K1" s="199"/>
      <c r="L1" s="199"/>
      <c r="M1" s="199"/>
      <c r="N1" s="199"/>
      <c r="O1" s="199"/>
      <c r="P1" s="199"/>
      <c r="Q1" s="199"/>
      <c r="R1" s="199"/>
      <c r="S1" s="199"/>
      <c r="T1" s="199"/>
      <c r="U1" s="199"/>
      <c r="V1" s="199"/>
      <c r="W1" s="199"/>
      <c r="X1" s="199"/>
      <c r="Y1" s="199"/>
      <c r="Z1" s="199"/>
      <c r="AA1" s="199"/>
      <c r="AB1" s="199"/>
      <c r="AC1" s="199"/>
      <c r="AD1" s="199"/>
      <c r="AE1" s="199"/>
      <c r="AF1" s="199"/>
      <c r="AG1" s="199"/>
      <c r="AH1" s="199"/>
      <c r="AI1" s="199"/>
      <c r="AJ1" s="199"/>
      <c r="AK1" s="179"/>
      <c r="AL1" s="179"/>
      <c r="AM1" s="180"/>
      <c r="AN1" s="180"/>
      <c r="AO1" s="180"/>
      <c r="AP1" s="181"/>
      <c r="AQ1" s="181"/>
      <c r="AR1" s="181"/>
      <c r="AS1" s="181"/>
      <c r="AT1" s="171"/>
      <c r="AU1" s="182"/>
      <c r="AV1" s="182"/>
      <c r="AX1" s="157"/>
      <c r="AY1" s="157"/>
      <c r="AZ1" s="158"/>
      <c r="BD1" s="183"/>
      <c r="BF1" s="184"/>
      <c r="BG1" s="185"/>
    </row>
    <row r="2" spans="1:96" ht="23.25" x14ac:dyDescent="0.35">
      <c r="A2" s="199" t="s">
        <v>298</v>
      </c>
      <c r="B2" s="199"/>
      <c r="C2" s="199"/>
      <c r="D2" s="199"/>
      <c r="E2" s="199"/>
      <c r="F2" s="199"/>
      <c r="G2" s="199"/>
      <c r="H2" s="199"/>
      <c r="I2" s="199"/>
      <c r="J2" s="199"/>
      <c r="K2" s="199"/>
      <c r="L2" s="199"/>
      <c r="M2" s="199"/>
      <c r="N2" s="199"/>
      <c r="O2" s="199"/>
      <c r="P2" s="199"/>
      <c r="Q2" s="199"/>
      <c r="R2" s="199"/>
      <c r="S2" s="199"/>
      <c r="T2" s="199"/>
      <c r="U2" s="199"/>
      <c r="V2" s="199"/>
      <c r="W2" s="199"/>
      <c r="X2" s="199"/>
      <c r="Y2" s="199"/>
      <c r="Z2" s="199"/>
      <c r="AA2" s="199"/>
      <c r="AB2" s="199"/>
      <c r="AC2" s="199"/>
      <c r="AD2" s="199"/>
      <c r="AE2" s="199"/>
      <c r="AF2" s="199"/>
      <c r="AG2" s="199"/>
      <c r="AH2" s="199"/>
      <c r="AI2" s="199"/>
      <c r="AJ2" s="199"/>
      <c r="AK2" s="179"/>
      <c r="AL2" s="179"/>
      <c r="AM2" s="180"/>
      <c r="AN2" s="180"/>
      <c r="AO2" s="180"/>
      <c r="AP2" s="181"/>
      <c r="AQ2" s="181"/>
      <c r="AR2" s="181"/>
      <c r="AS2" s="181"/>
      <c r="AT2" s="171"/>
      <c r="AU2" s="182"/>
      <c r="AV2" s="182"/>
      <c r="AX2" s="157"/>
      <c r="AY2" s="157"/>
      <c r="AZ2" s="158"/>
      <c r="BD2" s="183"/>
      <c r="BF2" s="184"/>
      <c r="BG2" s="185"/>
    </row>
    <row r="3" spans="1:96" ht="23.25" x14ac:dyDescent="0.35">
      <c r="A3" s="179"/>
      <c r="B3" s="179"/>
      <c r="C3" s="179"/>
      <c r="D3" s="179"/>
      <c r="E3" s="179"/>
      <c r="F3" s="186"/>
      <c r="G3" s="187"/>
      <c r="H3" s="187"/>
      <c r="I3" s="179"/>
      <c r="J3" s="179"/>
      <c r="K3" s="179"/>
      <c r="L3" s="179"/>
      <c r="M3" s="179"/>
      <c r="N3" s="179"/>
      <c r="O3" s="179"/>
      <c r="P3" s="179"/>
      <c r="Q3" s="179" t="s">
        <v>296</v>
      </c>
      <c r="R3" s="192"/>
      <c r="S3" s="179"/>
      <c r="T3" s="179"/>
      <c r="U3" s="179"/>
      <c r="V3" s="179"/>
      <c r="W3" s="179"/>
      <c r="X3" s="188"/>
      <c r="Y3" s="189"/>
      <c r="Z3" s="179"/>
      <c r="AA3" s="179"/>
      <c r="AB3" s="179"/>
      <c r="AC3" s="179"/>
      <c r="AD3" s="179"/>
      <c r="AE3" s="179"/>
      <c r="AF3" s="179"/>
      <c r="AG3" s="179"/>
      <c r="AH3" s="179"/>
      <c r="AI3" s="179"/>
      <c r="AJ3" s="179"/>
      <c r="AK3" s="179"/>
      <c r="AL3" s="179"/>
      <c r="AM3" s="180"/>
      <c r="AN3" s="180"/>
      <c r="AO3" s="180"/>
      <c r="AP3" s="181"/>
      <c r="AQ3" s="181"/>
      <c r="AR3" s="181"/>
      <c r="AS3" s="181"/>
      <c r="AT3" s="171"/>
      <c r="AU3" s="182"/>
      <c r="AV3" s="182"/>
      <c r="AX3" s="157"/>
      <c r="AY3" s="157"/>
      <c r="AZ3" s="158"/>
      <c r="BD3" s="183"/>
      <c r="BF3" s="184"/>
      <c r="BG3" s="185"/>
    </row>
    <row r="4" spans="1:96" ht="20.25" x14ac:dyDescent="0.3">
      <c r="A4" s="200" t="s">
        <v>297</v>
      </c>
      <c r="B4" s="200"/>
      <c r="C4" s="200"/>
      <c r="D4" s="200"/>
      <c r="E4" s="200"/>
      <c r="F4" s="200"/>
      <c r="G4" s="200"/>
      <c r="H4" s="200"/>
      <c r="I4" s="200"/>
      <c r="J4" s="200"/>
      <c r="K4" s="200"/>
      <c r="L4" s="200"/>
      <c r="M4" s="200"/>
      <c r="N4" s="200"/>
      <c r="O4" s="200"/>
      <c r="P4" s="200"/>
      <c r="Q4" s="200"/>
      <c r="R4" s="200"/>
      <c r="S4" s="200"/>
      <c r="T4" s="200"/>
      <c r="U4" s="200"/>
      <c r="V4" s="200"/>
      <c r="W4" s="200"/>
      <c r="X4" s="200"/>
      <c r="Y4" s="200"/>
      <c r="Z4" s="200"/>
      <c r="AA4" s="200"/>
      <c r="AB4" s="200"/>
      <c r="AC4" s="200"/>
      <c r="AD4" s="200"/>
      <c r="AE4" s="200"/>
      <c r="AF4" s="200"/>
      <c r="AG4" s="200"/>
      <c r="AH4" s="200"/>
      <c r="AI4" s="200"/>
      <c r="AJ4" s="200"/>
      <c r="AK4" s="190"/>
      <c r="AL4" s="190"/>
      <c r="AM4" s="191"/>
      <c r="AN4" s="191"/>
      <c r="AO4" s="191"/>
      <c r="AP4" s="181"/>
      <c r="AQ4" s="181"/>
      <c r="AR4" s="181"/>
      <c r="AS4" s="181"/>
      <c r="AT4" s="171"/>
      <c r="AU4" s="182"/>
      <c r="AV4" s="182"/>
      <c r="AX4" s="157"/>
      <c r="AY4" s="157"/>
      <c r="AZ4" s="158"/>
      <c r="BD4" s="183"/>
      <c r="BF4" s="184"/>
      <c r="BG4" s="185"/>
    </row>
    <row r="5" spans="1:96" ht="45.75" customHeight="1" x14ac:dyDescent="0.25">
      <c r="A5" s="202" t="s">
        <v>255</v>
      </c>
      <c r="B5" s="202" t="s">
        <v>256</v>
      </c>
      <c r="C5" s="203" t="s">
        <v>257</v>
      </c>
      <c r="D5" s="203" t="s">
        <v>258</v>
      </c>
      <c r="E5" s="204" t="s">
        <v>259</v>
      </c>
      <c r="F5" s="205" t="s">
        <v>260</v>
      </c>
      <c r="G5" s="206"/>
      <c r="H5" s="207" t="s">
        <v>261</v>
      </c>
      <c r="I5" s="208"/>
      <c r="J5" s="205" t="s">
        <v>262</v>
      </c>
      <c r="K5" s="209"/>
      <c r="L5" s="206"/>
      <c r="M5" s="212" t="s">
        <v>263</v>
      </c>
      <c r="N5" s="213"/>
      <c r="O5" s="213"/>
      <c r="P5" s="213"/>
      <c r="Q5" s="213"/>
      <c r="R5" s="213"/>
      <c r="S5" s="213"/>
      <c r="T5" s="214"/>
      <c r="U5" s="205" t="s">
        <v>264</v>
      </c>
      <c r="V5" s="206"/>
      <c r="W5" s="205" t="s">
        <v>265</v>
      </c>
      <c r="X5" s="209"/>
      <c r="Y5" s="206"/>
      <c r="Z5" s="205" t="s">
        <v>266</v>
      </c>
      <c r="AA5" s="206"/>
      <c r="AB5" s="205" t="s">
        <v>267</v>
      </c>
      <c r="AC5" s="206"/>
      <c r="AD5" s="203" t="s">
        <v>268</v>
      </c>
      <c r="AE5" s="210" t="s">
        <v>269</v>
      </c>
      <c r="AF5" s="83"/>
      <c r="AG5" s="84" t="s">
        <v>270</v>
      </c>
      <c r="AH5" s="84" t="s">
        <v>271</v>
      </c>
      <c r="AI5" s="84" t="s">
        <v>272</v>
      </c>
      <c r="AJ5" s="84" t="s">
        <v>273</v>
      </c>
      <c r="AK5" s="85" t="s">
        <v>274</v>
      </c>
      <c r="AL5" s="85" t="s">
        <v>275</v>
      </c>
      <c r="AM5" s="84" t="s">
        <v>270</v>
      </c>
      <c r="AN5" s="86" t="s">
        <v>276</v>
      </c>
      <c r="AO5" s="87" t="s">
        <v>277</v>
      </c>
      <c r="AP5" s="88"/>
      <c r="AQ5" s="88"/>
      <c r="AW5" s="89" t="s">
        <v>278</v>
      </c>
      <c r="AZ5" s="90"/>
      <c r="BA5" s="90"/>
      <c r="BB5" s="194"/>
      <c r="BC5" s="90"/>
      <c r="BD5" s="90"/>
      <c r="BE5" s="90"/>
      <c r="BF5" s="90"/>
      <c r="BG5" s="90"/>
      <c r="BH5" s="90"/>
      <c r="BI5" s="90"/>
      <c r="BJ5" s="90"/>
      <c r="BK5" s="90"/>
      <c r="BL5" s="90"/>
      <c r="BM5" s="90"/>
      <c r="BN5" s="90"/>
      <c r="BO5" s="90"/>
      <c r="BP5" s="90"/>
      <c r="BQ5" s="90"/>
      <c r="BR5" s="90"/>
      <c r="BS5" s="90"/>
      <c r="BT5" s="90"/>
      <c r="BU5" s="90"/>
      <c r="BV5" s="90"/>
      <c r="BW5" s="90"/>
      <c r="BX5" s="90"/>
      <c r="BY5" s="90"/>
      <c r="BZ5" s="90"/>
      <c r="CA5" s="90"/>
      <c r="CB5" s="90"/>
      <c r="CC5" s="90"/>
      <c r="CD5" s="90"/>
      <c r="CE5" s="90"/>
      <c r="CF5" s="90"/>
      <c r="CG5" s="90"/>
      <c r="CH5" s="90"/>
      <c r="CI5" s="90"/>
      <c r="CJ5" s="90"/>
      <c r="CK5" s="90"/>
      <c r="CL5" s="90"/>
      <c r="CM5" s="90"/>
      <c r="CN5" s="90"/>
      <c r="CO5" s="90"/>
      <c r="CP5" s="90"/>
      <c r="CQ5" s="90"/>
      <c r="CR5" s="91"/>
    </row>
    <row r="6" spans="1:96" ht="15.75" x14ac:dyDescent="0.25">
      <c r="A6" s="202"/>
      <c r="B6" s="202"/>
      <c r="C6" s="203"/>
      <c r="D6" s="203"/>
      <c r="E6" s="204"/>
      <c r="F6" s="92"/>
      <c r="G6" s="92"/>
      <c r="H6" s="92"/>
      <c r="I6" s="92"/>
      <c r="J6" s="215" t="s">
        <v>279</v>
      </c>
      <c r="K6" s="210" t="s">
        <v>280</v>
      </c>
      <c r="L6" s="210" t="s">
        <v>281</v>
      </c>
      <c r="M6" s="216" t="s">
        <v>282</v>
      </c>
      <c r="N6" s="217"/>
      <c r="O6" s="216" t="s">
        <v>283</v>
      </c>
      <c r="P6" s="217"/>
      <c r="Q6" s="216" t="s">
        <v>284</v>
      </c>
      <c r="R6" s="217"/>
      <c r="S6" s="216" t="s">
        <v>285</v>
      </c>
      <c r="T6" s="217"/>
      <c r="U6" s="215" t="s">
        <v>279</v>
      </c>
      <c r="V6" s="215" t="s">
        <v>286</v>
      </c>
      <c r="W6" s="215" t="s">
        <v>279</v>
      </c>
      <c r="X6" s="210" t="s">
        <v>280</v>
      </c>
      <c r="Y6" s="210" t="s">
        <v>281</v>
      </c>
      <c r="Z6" s="215" t="s">
        <v>279</v>
      </c>
      <c r="AA6" s="215" t="s">
        <v>286</v>
      </c>
      <c r="AB6" s="215" t="s">
        <v>279</v>
      </c>
      <c r="AC6" s="215" t="s">
        <v>286</v>
      </c>
      <c r="AD6" s="203"/>
      <c r="AE6" s="203"/>
      <c r="AF6" s="83"/>
      <c r="AG6" s="84"/>
      <c r="AH6" s="84"/>
      <c r="AI6" s="84"/>
      <c r="AJ6" s="84"/>
      <c r="AK6" s="85"/>
      <c r="AL6" s="85"/>
      <c r="AM6" s="84"/>
      <c r="AN6" s="86"/>
      <c r="AO6" s="87"/>
      <c r="AP6" s="88"/>
      <c r="AQ6" s="93" t="s">
        <v>281</v>
      </c>
      <c r="AR6" s="94" t="s">
        <v>280</v>
      </c>
      <c r="AS6" s="95" t="s">
        <v>287</v>
      </c>
      <c r="AT6" s="96" t="s">
        <v>270</v>
      </c>
      <c r="AU6" s="96" t="s">
        <v>280</v>
      </c>
      <c r="AV6" s="97" t="s">
        <v>281</v>
      </c>
      <c r="AW6" s="89"/>
    </row>
    <row r="7" spans="1:96" ht="8.25" customHeight="1" x14ac:dyDescent="0.25">
      <c r="A7" s="202"/>
      <c r="B7" s="202"/>
      <c r="C7" s="203"/>
      <c r="D7" s="203"/>
      <c r="E7" s="204"/>
      <c r="F7" s="92"/>
      <c r="G7" s="92"/>
      <c r="H7" s="92"/>
      <c r="I7" s="92"/>
      <c r="J7" s="204"/>
      <c r="K7" s="211"/>
      <c r="L7" s="211"/>
      <c r="M7" s="212"/>
      <c r="N7" s="214"/>
      <c r="O7" s="212"/>
      <c r="P7" s="214"/>
      <c r="Q7" s="212"/>
      <c r="R7" s="214"/>
      <c r="S7" s="212"/>
      <c r="T7" s="214"/>
      <c r="U7" s="220"/>
      <c r="V7" s="220"/>
      <c r="W7" s="220"/>
      <c r="X7" s="211"/>
      <c r="Y7" s="211"/>
      <c r="Z7" s="220"/>
      <c r="AA7" s="220"/>
      <c r="AB7" s="220"/>
      <c r="AC7" s="220"/>
      <c r="AD7" s="203"/>
      <c r="AE7" s="203"/>
      <c r="AF7" s="83"/>
      <c r="AG7" s="84"/>
      <c r="AH7" s="84"/>
      <c r="AI7" s="84"/>
      <c r="AJ7" s="84"/>
      <c r="AK7" s="85"/>
      <c r="AL7" s="85"/>
      <c r="AM7" s="84"/>
      <c r="AN7" s="86"/>
      <c r="AO7" s="87"/>
      <c r="AP7" s="88"/>
      <c r="AQ7" s="88"/>
      <c r="AW7" s="89"/>
    </row>
    <row r="8" spans="1:96" ht="15.75" x14ac:dyDescent="0.25">
      <c r="A8" s="202"/>
      <c r="B8" s="202"/>
      <c r="C8" s="203"/>
      <c r="D8" s="203"/>
      <c r="E8" s="204"/>
      <c r="F8" s="98" t="s">
        <v>279</v>
      </c>
      <c r="G8" s="98" t="s">
        <v>286</v>
      </c>
      <c r="H8" s="98" t="s">
        <v>279</v>
      </c>
      <c r="I8" s="98" t="s">
        <v>286</v>
      </c>
      <c r="J8" s="204"/>
      <c r="K8" s="215" t="s">
        <v>286</v>
      </c>
      <c r="L8" s="215" t="s">
        <v>286</v>
      </c>
      <c r="M8" s="215" t="s">
        <v>279</v>
      </c>
      <c r="N8" s="218" t="s">
        <v>286</v>
      </c>
      <c r="O8" s="215" t="s">
        <v>279</v>
      </c>
      <c r="P8" s="99" t="s">
        <v>286</v>
      </c>
      <c r="Q8" s="215" t="s">
        <v>279</v>
      </c>
      <c r="R8" s="99" t="s">
        <v>286</v>
      </c>
      <c r="S8" s="215" t="s">
        <v>279</v>
      </c>
      <c r="T8" s="100" t="s">
        <v>286</v>
      </c>
      <c r="U8" s="215"/>
      <c r="V8" s="215"/>
      <c r="W8" s="215"/>
      <c r="X8" s="215" t="s">
        <v>286</v>
      </c>
      <c r="Y8" s="215" t="s">
        <v>286</v>
      </c>
      <c r="Z8" s="215"/>
      <c r="AA8" s="215"/>
      <c r="AB8" s="215"/>
      <c r="AC8" s="215"/>
      <c r="AD8" s="203"/>
      <c r="AE8" s="203"/>
      <c r="AF8" s="83"/>
      <c r="AG8" s="84"/>
      <c r="AH8" s="84"/>
      <c r="AI8" s="84"/>
      <c r="AJ8" s="84"/>
      <c r="AK8" s="85"/>
      <c r="AL8" s="85"/>
      <c r="AM8" s="84"/>
      <c r="AN8" s="86"/>
      <c r="AO8" s="87"/>
      <c r="AP8" s="88"/>
      <c r="AQ8" s="88"/>
      <c r="AW8" s="89"/>
    </row>
    <row r="9" spans="1:96" ht="7.5" customHeight="1" x14ac:dyDescent="0.25">
      <c r="A9" s="202"/>
      <c r="B9" s="202"/>
      <c r="C9" s="203"/>
      <c r="D9" s="203"/>
      <c r="E9" s="204"/>
      <c r="F9" s="114"/>
      <c r="G9" s="114"/>
      <c r="H9" s="114"/>
      <c r="I9" s="114"/>
      <c r="J9" s="204"/>
      <c r="K9" s="204"/>
      <c r="L9" s="204"/>
      <c r="M9" s="204"/>
      <c r="N9" s="219"/>
      <c r="O9" s="204"/>
      <c r="P9" s="115"/>
      <c r="Q9" s="204"/>
      <c r="R9" s="115"/>
      <c r="S9" s="204"/>
      <c r="T9" s="116"/>
      <c r="U9" s="204"/>
      <c r="V9" s="204"/>
      <c r="W9" s="204"/>
      <c r="X9" s="204"/>
      <c r="Y9" s="204"/>
      <c r="Z9" s="204"/>
      <c r="AA9" s="204"/>
      <c r="AB9" s="204"/>
      <c r="AC9" s="204"/>
      <c r="AD9" s="203"/>
      <c r="AE9" s="211"/>
      <c r="AF9" s="83"/>
      <c r="AG9" s="84"/>
      <c r="AH9" s="84"/>
      <c r="AI9" s="84"/>
      <c r="AJ9" s="84"/>
      <c r="AK9" s="85"/>
      <c r="AL9" s="85"/>
      <c r="AM9" s="84"/>
      <c r="AN9" s="86"/>
      <c r="AO9" s="87"/>
      <c r="AP9" s="88"/>
      <c r="AQ9" s="88"/>
    </row>
    <row r="10" spans="1:96" ht="23.25" customHeight="1" x14ac:dyDescent="0.25">
      <c r="A10" s="153"/>
      <c r="B10" s="153"/>
      <c r="C10" s="154"/>
      <c r="D10" s="154"/>
      <c r="E10" s="155"/>
      <c r="F10" s="114"/>
      <c r="G10" s="114"/>
      <c r="H10" s="114"/>
      <c r="I10" s="114"/>
      <c r="J10" s="155"/>
      <c r="K10" s="155"/>
      <c r="L10" s="155"/>
      <c r="M10" s="155"/>
      <c r="N10" s="156"/>
      <c r="O10" s="155"/>
      <c r="P10" s="115"/>
      <c r="Q10" s="155"/>
      <c r="R10" s="115"/>
      <c r="S10" s="155"/>
      <c r="T10" s="116"/>
      <c r="U10" s="155"/>
      <c r="V10" s="155"/>
      <c r="W10" s="155"/>
      <c r="X10" s="155"/>
      <c r="Y10" s="155"/>
      <c r="Z10" s="155"/>
      <c r="AA10" s="155"/>
      <c r="AB10" s="155"/>
      <c r="AC10" s="155"/>
      <c r="AD10" s="154"/>
      <c r="AE10" s="154"/>
      <c r="AF10" s="83"/>
      <c r="AG10" s="84"/>
      <c r="AH10" s="84"/>
      <c r="AI10" s="84"/>
      <c r="AJ10" s="84"/>
      <c r="AK10" s="85"/>
      <c r="AL10" s="85"/>
      <c r="AM10" s="84"/>
      <c r="AN10" s="86"/>
      <c r="AO10" s="87"/>
      <c r="AP10" s="88"/>
      <c r="AQ10" s="88"/>
    </row>
    <row r="11" spans="1:96" ht="22.5" x14ac:dyDescent="0.25">
      <c r="A11" s="117"/>
      <c r="B11" s="118"/>
      <c r="C11" s="119" t="s">
        <v>0</v>
      </c>
      <c r="D11" s="120"/>
      <c r="E11" s="121"/>
      <c r="F11" s="122"/>
      <c r="G11" s="122"/>
      <c r="H11" s="122"/>
      <c r="I11" s="122"/>
      <c r="J11" s="123"/>
      <c r="K11" s="124"/>
      <c r="L11" s="125"/>
      <c r="M11" s="126"/>
      <c r="N11" s="127"/>
      <c r="O11" s="126"/>
      <c r="P11" s="127"/>
      <c r="Q11" s="126"/>
      <c r="R11" s="127"/>
      <c r="S11" s="126"/>
      <c r="T11" s="127"/>
      <c r="U11" s="126"/>
      <c r="V11" s="127"/>
      <c r="W11" s="126"/>
      <c r="X11" s="126"/>
      <c r="Y11" s="126"/>
      <c r="Z11" s="126"/>
      <c r="AA11" s="128"/>
      <c r="AB11" s="126"/>
      <c r="AC11" s="126"/>
      <c r="AD11" s="129"/>
      <c r="AE11" s="1"/>
      <c r="AF11" s="2"/>
      <c r="AG11" s="3"/>
      <c r="AH11" s="3"/>
      <c r="AI11" s="3"/>
      <c r="AJ11" s="4"/>
      <c r="AK11" s="5"/>
      <c r="AL11" s="5"/>
      <c r="AM11" s="4"/>
      <c r="AN11" s="6"/>
      <c r="AO11" s="7"/>
      <c r="AP11" s="8"/>
      <c r="AQ11" s="8"/>
      <c r="AR11" s="9"/>
      <c r="AS11" s="10"/>
      <c r="AT11" s="11"/>
      <c r="AU11" s="11"/>
      <c r="AV11" s="12"/>
      <c r="AW11" s="12"/>
    </row>
    <row r="12" spans="1:96" ht="22.5" x14ac:dyDescent="0.25">
      <c r="A12" s="130"/>
      <c r="B12" s="131">
        <v>4</v>
      </c>
      <c r="C12" s="132" t="s">
        <v>1</v>
      </c>
      <c r="D12" s="133"/>
      <c r="E12" s="134"/>
      <c r="F12" s="135"/>
      <c r="G12" s="135"/>
      <c r="H12" s="135"/>
      <c r="I12" s="135"/>
      <c r="J12" s="103"/>
      <c r="K12" s="136"/>
      <c r="L12" s="137"/>
      <c r="M12" s="126"/>
      <c r="N12" s="127"/>
      <c r="O12" s="126"/>
      <c r="P12" s="127"/>
      <c r="Q12" s="126"/>
      <c r="R12" s="127"/>
      <c r="S12" s="126"/>
      <c r="T12" s="127"/>
      <c r="U12" s="126"/>
      <c r="V12" s="127"/>
      <c r="W12" s="126"/>
      <c r="X12" s="126"/>
      <c r="Y12" s="126"/>
      <c r="Z12" s="126"/>
      <c r="AA12" s="128"/>
      <c r="AB12" s="126"/>
      <c r="AC12" s="126"/>
      <c r="AD12" s="129" t="s">
        <v>2</v>
      </c>
      <c r="AE12" s="1" t="s">
        <v>3</v>
      </c>
      <c r="AF12" s="13"/>
      <c r="AG12" s="14" t="s">
        <v>4</v>
      </c>
      <c r="AH12" s="14" t="str">
        <f t="shared" ref="AH12:AI14" si="0">IF(AN12&gt;=1,"√",IF(AN12&gt;=0,"X",))</f>
        <v>X</v>
      </c>
      <c r="AI12" s="14" t="str">
        <f t="shared" si="0"/>
        <v>X</v>
      </c>
      <c r="AJ12" s="15"/>
      <c r="AK12" s="16"/>
      <c r="AL12" s="16"/>
      <c r="AM12" s="15"/>
      <c r="AN12" s="17"/>
      <c r="AO12" s="18"/>
      <c r="AP12" s="19"/>
      <c r="AQ12" s="19"/>
      <c r="AR12" s="9"/>
      <c r="AS12" s="20"/>
      <c r="AT12" s="21"/>
      <c r="AU12" s="21"/>
      <c r="AV12" s="22"/>
      <c r="AW12" s="22"/>
    </row>
    <row r="13" spans="1:96" ht="15.75" x14ac:dyDescent="0.25">
      <c r="A13" s="130"/>
      <c r="B13" s="131" t="s">
        <v>5</v>
      </c>
      <c r="C13" s="132" t="s">
        <v>6</v>
      </c>
      <c r="D13" s="133"/>
      <c r="E13" s="134"/>
      <c r="F13" s="135"/>
      <c r="G13" s="135"/>
      <c r="H13" s="135"/>
      <c r="I13" s="135"/>
      <c r="J13" s="103"/>
      <c r="K13" s="136"/>
      <c r="L13" s="137"/>
      <c r="M13" s="126"/>
      <c r="N13" s="127"/>
      <c r="O13" s="126"/>
      <c r="P13" s="127"/>
      <c r="Q13" s="126"/>
      <c r="R13" s="127"/>
      <c r="S13" s="126"/>
      <c r="T13" s="127"/>
      <c r="U13" s="126"/>
      <c r="V13" s="127"/>
      <c r="W13" s="126"/>
      <c r="X13" s="126"/>
      <c r="Y13" s="126"/>
      <c r="Z13" s="126"/>
      <c r="AA13" s="128"/>
      <c r="AB13" s="126"/>
      <c r="AC13" s="126"/>
      <c r="AD13" s="129" t="s">
        <v>2</v>
      </c>
      <c r="AE13" s="1" t="s">
        <v>3</v>
      </c>
      <c r="AF13" s="13"/>
      <c r="AG13" s="14" t="s">
        <v>4</v>
      </c>
      <c r="AH13" s="14" t="str">
        <f t="shared" si="0"/>
        <v>X</v>
      </c>
      <c r="AI13" s="14" t="str">
        <f t="shared" si="0"/>
        <v>X</v>
      </c>
      <c r="AJ13" s="15"/>
      <c r="AK13" s="16"/>
      <c r="AL13" s="16"/>
      <c r="AM13" s="15"/>
      <c r="AN13" s="17"/>
      <c r="AO13" s="18"/>
      <c r="AP13" s="19"/>
      <c r="AQ13" s="19"/>
      <c r="AR13" s="9"/>
      <c r="AS13" s="20"/>
      <c r="AT13" s="21"/>
      <c r="AU13" s="21"/>
      <c r="AV13" s="22"/>
      <c r="AW13" s="22"/>
    </row>
    <row r="14" spans="1:96" ht="33.75" x14ac:dyDescent="0.25">
      <c r="A14" s="130"/>
      <c r="B14" s="138" t="s">
        <v>7</v>
      </c>
      <c r="C14" s="132" t="s">
        <v>8</v>
      </c>
      <c r="D14" s="133" t="s">
        <v>9</v>
      </c>
      <c r="E14" s="134" t="s">
        <v>10</v>
      </c>
      <c r="F14" s="135"/>
      <c r="G14" s="135"/>
      <c r="H14" s="135"/>
      <c r="I14" s="135"/>
      <c r="J14" s="103">
        <v>100</v>
      </c>
      <c r="K14" s="136"/>
      <c r="L14" s="137"/>
      <c r="M14" s="126"/>
      <c r="N14" s="127"/>
      <c r="O14" s="126"/>
      <c r="P14" s="127"/>
      <c r="Q14" s="126"/>
      <c r="R14" s="127"/>
      <c r="S14" s="126"/>
      <c r="T14" s="127"/>
      <c r="U14" s="126"/>
      <c r="V14" s="127"/>
      <c r="W14" s="126"/>
      <c r="X14" s="126"/>
      <c r="Y14" s="126"/>
      <c r="Z14" s="126"/>
      <c r="AA14" s="128"/>
      <c r="AB14" s="126"/>
      <c r="AC14" s="126"/>
      <c r="AD14" s="129" t="s">
        <v>2</v>
      </c>
      <c r="AE14" s="1" t="s">
        <v>3</v>
      </c>
      <c r="AF14" s="13"/>
      <c r="AG14" s="14" t="s">
        <v>4</v>
      </c>
      <c r="AH14" s="14" t="str">
        <f t="shared" si="0"/>
        <v>X</v>
      </c>
      <c r="AI14" s="14" t="str">
        <f t="shared" si="0"/>
        <v>X</v>
      </c>
      <c r="AJ14" s="15"/>
      <c r="AK14" s="16"/>
      <c r="AL14" s="16"/>
      <c r="AM14" s="15"/>
      <c r="AN14" s="17"/>
      <c r="AO14" s="23"/>
      <c r="AP14" s="19"/>
      <c r="AQ14" s="19"/>
      <c r="AR14" s="9"/>
      <c r="AS14" s="20"/>
      <c r="AT14" s="21"/>
      <c r="AU14" s="21"/>
      <c r="AV14" s="22"/>
      <c r="AW14" s="22"/>
      <c r="AY14" t="s">
        <v>289</v>
      </c>
      <c r="BA14" t="s">
        <v>290</v>
      </c>
      <c r="BC14" t="s">
        <v>299</v>
      </c>
    </row>
    <row r="15" spans="1:96" ht="112.5" x14ac:dyDescent="0.25">
      <c r="A15" s="130"/>
      <c r="B15" s="131" t="s">
        <v>11</v>
      </c>
      <c r="C15" s="132" t="s">
        <v>12</v>
      </c>
      <c r="D15" s="133" t="s">
        <v>13</v>
      </c>
      <c r="E15" s="134"/>
      <c r="F15" s="139"/>
      <c r="G15" s="139"/>
      <c r="H15" s="139"/>
      <c r="I15" s="139"/>
      <c r="J15" s="140" t="s">
        <v>14</v>
      </c>
      <c r="K15" s="141"/>
      <c r="L15" s="137"/>
      <c r="M15" s="126"/>
      <c r="N15" s="127"/>
      <c r="O15" s="126"/>
      <c r="P15" s="127"/>
      <c r="Q15" s="126"/>
      <c r="R15" s="127"/>
      <c r="S15" s="126"/>
      <c r="T15" s="127"/>
      <c r="U15" s="126"/>
      <c r="V15" s="127"/>
      <c r="W15" s="126"/>
      <c r="X15" s="126"/>
      <c r="Y15" s="126"/>
      <c r="Z15" s="126"/>
      <c r="AA15" s="128"/>
      <c r="AB15" s="126"/>
      <c r="AC15" s="126"/>
      <c r="AD15" s="129" t="s">
        <v>2</v>
      </c>
      <c r="AE15" s="1"/>
      <c r="AF15" s="13"/>
      <c r="AG15" s="14"/>
      <c r="AH15" s="14"/>
      <c r="AI15" s="14"/>
      <c r="AJ15" s="15"/>
      <c r="AK15" s="16"/>
      <c r="AL15" s="16"/>
      <c r="AM15" s="15"/>
      <c r="AN15" s="24">
        <f>AN16</f>
        <v>144516650</v>
      </c>
      <c r="AO15" s="24">
        <f>AO16</f>
        <v>133412250</v>
      </c>
      <c r="AP15" s="24"/>
      <c r="AQ15" s="24"/>
      <c r="AR15" s="9"/>
      <c r="AS15" s="20"/>
      <c r="AT15" s="21"/>
      <c r="AU15" s="21"/>
      <c r="AV15" s="22"/>
      <c r="AW15" s="22"/>
    </row>
    <row r="16" spans="1:96" ht="22.5" x14ac:dyDescent="0.25">
      <c r="A16" s="117"/>
      <c r="B16" s="118" t="s">
        <v>15</v>
      </c>
      <c r="C16" s="119" t="s">
        <v>16</v>
      </c>
      <c r="D16" s="120" t="s">
        <v>17</v>
      </c>
      <c r="E16" s="121" t="s">
        <v>18</v>
      </c>
      <c r="F16" s="122"/>
      <c r="G16" s="122"/>
      <c r="H16" s="122"/>
      <c r="I16" s="122"/>
      <c r="J16" s="123">
        <v>12</v>
      </c>
      <c r="K16" s="124">
        <f>AN16*0.001</f>
        <v>144516.65</v>
      </c>
      <c r="L16" s="125">
        <f>AO16*0.001</f>
        <v>133412.25</v>
      </c>
      <c r="M16" s="126">
        <f>25%*J16</f>
        <v>3</v>
      </c>
      <c r="N16" s="127">
        <f>23863750*0.001</f>
        <v>23863.75</v>
      </c>
      <c r="O16" s="126">
        <v>0</v>
      </c>
      <c r="P16" s="175">
        <v>35896050</v>
      </c>
      <c r="Q16" s="126">
        <v>0</v>
      </c>
      <c r="R16" s="175">
        <v>49296180</v>
      </c>
      <c r="S16" s="126">
        <v>0</v>
      </c>
      <c r="T16" s="127">
        <v>0</v>
      </c>
      <c r="U16" s="126">
        <f t="shared" ref="U16:U66" si="1">SUM(M16+O16+Q16+S16)</f>
        <v>3</v>
      </c>
      <c r="V16" s="127">
        <f t="shared" ref="V16:V66" si="2">SUM(N16+P16+R16+T16)</f>
        <v>85216093.75</v>
      </c>
      <c r="W16" s="126">
        <f t="shared" ref="W16:W66" si="3">IFERROR(SUM(U16/J16*100),0)</f>
        <v>25</v>
      </c>
      <c r="X16" s="126">
        <f t="shared" ref="X16:X66" si="4">IFERROR(SUM(V16/K16*100),0)</f>
        <v>58966.280874902659</v>
      </c>
      <c r="Y16" s="126">
        <f t="shared" ref="Y16:Y66" si="5">IFERROR(SUM(V16/L16*100),0)</f>
        <v>63874.264732061718</v>
      </c>
      <c r="Z16" s="126">
        <f t="shared" ref="Z16:Z66" si="6">IFERROR(SUM(H16+U16),0)</f>
        <v>3</v>
      </c>
      <c r="AA16" s="128">
        <f t="shared" ref="AA16:AA66" si="7">I16+V16</f>
        <v>85216093.75</v>
      </c>
      <c r="AB16" s="126">
        <f t="shared" ref="AB16:AB66" si="8">IFERROR(SUM(Z16/F16*100),0)</f>
        <v>0</v>
      </c>
      <c r="AC16" s="126">
        <f t="shared" ref="AC16:AC66" si="9">IFERROR(SUM(AA16/G16*100),0)</f>
        <v>0</v>
      </c>
      <c r="AD16" s="129" t="s">
        <v>2</v>
      </c>
      <c r="AE16" s="1" t="s">
        <v>3</v>
      </c>
      <c r="AF16" s="2"/>
      <c r="AG16" s="3" t="s">
        <v>4</v>
      </c>
      <c r="AH16" s="3" t="str">
        <f t="shared" ref="AH16:AI19" si="10">IF(AN16&gt;=1,"√",IF(AN16&gt;=0,"X",))</f>
        <v>√</v>
      </c>
      <c r="AI16" s="3" t="str">
        <f t="shared" si="10"/>
        <v>√</v>
      </c>
      <c r="AJ16" s="4"/>
      <c r="AK16" s="5"/>
      <c r="AL16" s="5"/>
      <c r="AM16" s="4"/>
      <c r="AN16" s="6">
        <v>144516650</v>
      </c>
      <c r="AO16" s="7">
        <v>133412250</v>
      </c>
      <c r="AP16" s="8"/>
      <c r="AQ16" s="8"/>
      <c r="AR16" s="9"/>
      <c r="AS16" s="10"/>
      <c r="AT16" s="11"/>
      <c r="AU16" s="11"/>
      <c r="AV16" s="12"/>
      <c r="AW16" s="12"/>
      <c r="AY16" s="157">
        <v>23863750</v>
      </c>
      <c r="AZ16" s="157">
        <v>59759800</v>
      </c>
      <c r="BA16" s="158">
        <f>AZ16-AY16</f>
        <v>35896050</v>
      </c>
      <c r="BB16" s="193">
        <v>85192230</v>
      </c>
      <c r="BC16" s="221">
        <f>BB16-BA16</f>
        <v>49296180</v>
      </c>
    </row>
    <row r="17" spans="1:55" ht="78.75" x14ac:dyDescent="0.25">
      <c r="A17" s="130"/>
      <c r="B17" s="131" t="s">
        <v>19</v>
      </c>
      <c r="C17" s="132" t="s">
        <v>20</v>
      </c>
      <c r="D17" s="133" t="s">
        <v>21</v>
      </c>
      <c r="E17" s="134" t="s">
        <v>10</v>
      </c>
      <c r="F17" s="135"/>
      <c r="G17" s="135"/>
      <c r="H17" s="135"/>
      <c r="I17" s="135"/>
      <c r="J17" s="103" t="s">
        <v>14</v>
      </c>
      <c r="K17" s="136">
        <f>AN17*0.001</f>
        <v>10583104.173</v>
      </c>
      <c r="L17" s="137"/>
      <c r="M17" s="126"/>
      <c r="N17" s="127"/>
      <c r="O17" s="126"/>
      <c r="P17" s="175"/>
      <c r="Q17" s="126"/>
      <c r="R17" s="175"/>
      <c r="S17" s="126"/>
      <c r="T17" s="127"/>
      <c r="U17" s="126"/>
      <c r="V17" s="127"/>
      <c r="W17" s="126"/>
      <c r="X17" s="126"/>
      <c r="Y17" s="126"/>
      <c r="Z17" s="126"/>
      <c r="AA17" s="128"/>
      <c r="AB17" s="126"/>
      <c r="AC17" s="126"/>
      <c r="AD17" s="129" t="s">
        <v>2</v>
      </c>
      <c r="AE17" s="1" t="s">
        <v>3</v>
      </c>
      <c r="AF17" s="13"/>
      <c r="AG17" s="14" t="s">
        <v>4</v>
      </c>
      <c r="AH17" s="14" t="str">
        <f t="shared" si="10"/>
        <v>√</v>
      </c>
      <c r="AI17" s="14" t="str">
        <f t="shared" si="10"/>
        <v>√</v>
      </c>
      <c r="AJ17" s="15"/>
      <c r="AK17" s="16"/>
      <c r="AL17" s="16"/>
      <c r="AM17" s="15"/>
      <c r="AN17" s="17">
        <f>SUM(AN18:AN20)</f>
        <v>10583104173</v>
      </c>
      <c r="AO17" s="18">
        <f>SUM(AO18:AO20)</f>
        <v>11865843524</v>
      </c>
      <c r="AP17" s="19"/>
      <c r="AQ17" s="19"/>
      <c r="AR17" s="9"/>
      <c r="AS17" s="20"/>
      <c r="AT17" s="21"/>
      <c r="AU17" s="21"/>
      <c r="AV17" s="22"/>
      <c r="AW17" s="22"/>
      <c r="AY17" s="157"/>
      <c r="AZ17" s="157"/>
      <c r="BA17" s="158"/>
    </row>
    <row r="18" spans="1:55" ht="22.5" x14ac:dyDescent="0.25">
      <c r="A18" s="117"/>
      <c r="B18" s="118" t="s">
        <v>22</v>
      </c>
      <c r="C18" s="119" t="s">
        <v>23</v>
      </c>
      <c r="D18" s="120" t="s">
        <v>24</v>
      </c>
      <c r="E18" s="121"/>
      <c r="F18" s="122"/>
      <c r="G18" s="122"/>
      <c r="H18" s="122"/>
      <c r="I18" s="122"/>
      <c r="J18" s="123">
        <v>12</v>
      </c>
      <c r="K18" s="124">
        <f>AN18*0.001</f>
        <v>10306175.823000001</v>
      </c>
      <c r="L18" s="125">
        <f>AO18*0.001</f>
        <v>11651348.774</v>
      </c>
      <c r="M18" s="126">
        <f>23.33%*J18</f>
        <v>2.7995999999999999</v>
      </c>
      <c r="N18" s="127">
        <f>2791732762*0.001</f>
        <v>2791732.7620000001</v>
      </c>
      <c r="O18" s="126">
        <v>0</v>
      </c>
      <c r="P18" s="175">
        <v>2512409764</v>
      </c>
      <c r="Q18" s="126">
        <v>0</v>
      </c>
      <c r="R18" s="175">
        <v>5297882937</v>
      </c>
      <c r="S18" s="126">
        <v>0</v>
      </c>
      <c r="T18" s="127">
        <v>0</v>
      </c>
      <c r="U18" s="126">
        <f t="shared" si="1"/>
        <v>2.7995999999999999</v>
      </c>
      <c r="V18" s="127">
        <f t="shared" si="2"/>
        <v>7813084433.7620001</v>
      </c>
      <c r="W18" s="126">
        <f t="shared" si="3"/>
        <v>23.33</v>
      </c>
      <c r="X18" s="126">
        <f t="shared" si="4"/>
        <v>75809.733580575645</v>
      </c>
      <c r="Y18" s="126">
        <f t="shared" si="5"/>
        <v>67057.338899655195</v>
      </c>
      <c r="Z18" s="126">
        <f t="shared" si="6"/>
        <v>2.7995999999999999</v>
      </c>
      <c r="AA18" s="128">
        <f t="shared" si="7"/>
        <v>7813084433.7620001</v>
      </c>
      <c r="AB18" s="126">
        <f t="shared" si="8"/>
        <v>0</v>
      </c>
      <c r="AC18" s="126">
        <f t="shared" si="9"/>
        <v>0</v>
      </c>
      <c r="AD18" s="129" t="s">
        <v>2</v>
      </c>
      <c r="AE18" s="1" t="s">
        <v>3</v>
      </c>
      <c r="AF18" s="2"/>
      <c r="AG18" s="3" t="s">
        <v>4</v>
      </c>
      <c r="AH18" s="3" t="str">
        <f t="shared" si="10"/>
        <v>√</v>
      </c>
      <c r="AI18" s="3" t="str">
        <f t="shared" si="10"/>
        <v>√</v>
      </c>
      <c r="AJ18" s="4"/>
      <c r="AK18" s="5"/>
      <c r="AL18" s="5"/>
      <c r="AM18" s="4"/>
      <c r="AN18" s="6">
        <v>10306175823</v>
      </c>
      <c r="AO18" s="7">
        <v>11651348774</v>
      </c>
      <c r="AP18" s="8"/>
      <c r="AQ18" s="8"/>
      <c r="AR18" s="9"/>
      <c r="AS18" s="10"/>
      <c r="AT18" s="11"/>
      <c r="AU18" s="11"/>
      <c r="AV18" s="12"/>
      <c r="AW18" s="12"/>
      <c r="AY18" s="159">
        <v>2791732762</v>
      </c>
      <c r="AZ18" s="159">
        <v>5304142526</v>
      </c>
      <c r="BA18" s="158">
        <f>AZ18-AY18</f>
        <v>2512409764</v>
      </c>
      <c r="BB18" s="193">
        <v>7810292701</v>
      </c>
      <c r="BC18" s="221">
        <f>BB18-BA18</f>
        <v>5297882937</v>
      </c>
    </row>
    <row r="19" spans="1:55" ht="22.5" x14ac:dyDescent="0.25">
      <c r="A19" s="117"/>
      <c r="B19" s="118" t="s">
        <v>25</v>
      </c>
      <c r="C19" s="119" t="s">
        <v>26</v>
      </c>
      <c r="D19" s="120" t="s">
        <v>27</v>
      </c>
      <c r="E19" s="121" t="s">
        <v>18</v>
      </c>
      <c r="F19" s="122"/>
      <c r="G19" s="122"/>
      <c r="H19" s="122"/>
      <c r="I19" s="122"/>
      <c r="J19" s="123">
        <v>12</v>
      </c>
      <c r="K19" s="124">
        <f>AN19*0.001</f>
        <v>206926.5</v>
      </c>
      <c r="L19" s="125">
        <f>AO19*0.001</f>
        <v>186053.15</v>
      </c>
      <c r="M19" s="126">
        <f>25%*J19</f>
        <v>3</v>
      </c>
      <c r="N19" s="127">
        <f>27637500*0.001</f>
        <v>27637.5</v>
      </c>
      <c r="O19" s="126">
        <v>0</v>
      </c>
      <c r="P19" s="175">
        <v>45214600</v>
      </c>
      <c r="Q19" s="126">
        <v>0</v>
      </c>
      <c r="R19" s="175">
        <v>72340700</v>
      </c>
      <c r="S19" s="126">
        <v>0</v>
      </c>
      <c r="T19" s="127">
        <v>0</v>
      </c>
      <c r="U19" s="126">
        <f t="shared" si="1"/>
        <v>3</v>
      </c>
      <c r="V19" s="127">
        <f t="shared" si="2"/>
        <v>117582937.5</v>
      </c>
      <c r="W19" s="126">
        <f t="shared" si="3"/>
        <v>25</v>
      </c>
      <c r="X19" s="126">
        <f t="shared" si="4"/>
        <v>56823.527919333676</v>
      </c>
      <c r="Y19" s="126">
        <f t="shared" si="5"/>
        <v>63198.573902134958</v>
      </c>
      <c r="Z19" s="126">
        <f t="shared" si="6"/>
        <v>3</v>
      </c>
      <c r="AA19" s="128">
        <f t="shared" si="7"/>
        <v>117582937.5</v>
      </c>
      <c r="AB19" s="126">
        <f t="shared" si="8"/>
        <v>0</v>
      </c>
      <c r="AC19" s="126">
        <f t="shared" si="9"/>
        <v>0</v>
      </c>
      <c r="AD19" s="129" t="s">
        <v>2</v>
      </c>
      <c r="AE19" s="1" t="s">
        <v>3</v>
      </c>
      <c r="AF19" s="2"/>
      <c r="AG19" s="3" t="s">
        <v>4</v>
      </c>
      <c r="AH19" s="3" t="str">
        <f t="shared" si="10"/>
        <v>√</v>
      </c>
      <c r="AI19" s="3" t="str">
        <f t="shared" si="10"/>
        <v>√</v>
      </c>
      <c r="AJ19" s="4"/>
      <c r="AK19" s="5"/>
      <c r="AL19" s="5"/>
      <c r="AM19" s="4"/>
      <c r="AN19" s="6">
        <v>206926500</v>
      </c>
      <c r="AO19" s="7">
        <v>186053150</v>
      </c>
      <c r="AP19" s="8"/>
      <c r="AQ19" s="8"/>
      <c r="AR19" s="9"/>
      <c r="AS19" s="10"/>
      <c r="AT19" s="11"/>
      <c r="AU19" s="11"/>
      <c r="AV19" s="12"/>
      <c r="AW19" s="12"/>
      <c r="AY19" s="160">
        <v>27637500</v>
      </c>
      <c r="AZ19" s="160">
        <v>72852100</v>
      </c>
      <c r="BA19" s="158">
        <f>AZ19-AY19</f>
        <v>45214600</v>
      </c>
      <c r="BB19" s="193">
        <v>117555300</v>
      </c>
      <c r="BC19" s="221">
        <f>BB19-BA19</f>
        <v>72340700</v>
      </c>
    </row>
    <row r="20" spans="1:55" ht="45" x14ac:dyDescent="0.25">
      <c r="A20" s="117"/>
      <c r="B20" s="118" t="s">
        <v>28</v>
      </c>
      <c r="C20" s="119" t="s">
        <v>29</v>
      </c>
      <c r="D20" s="120" t="s">
        <v>30</v>
      </c>
      <c r="E20" s="121" t="s">
        <v>31</v>
      </c>
      <c r="F20" s="142"/>
      <c r="G20" s="142"/>
      <c r="H20" s="142"/>
      <c r="I20" s="142"/>
      <c r="J20" s="143">
        <v>12</v>
      </c>
      <c r="K20" s="144">
        <f>70001850*0.001</f>
        <v>70001.850000000006</v>
      </c>
      <c r="L20" s="125">
        <f>AO20*0.001</f>
        <v>28441.600000000002</v>
      </c>
      <c r="M20" s="126">
        <f>25%*J20</f>
        <v>3</v>
      </c>
      <c r="N20" s="127">
        <f>2988500*0.001</f>
        <v>2988.5</v>
      </c>
      <c r="O20" s="126">
        <v>0</v>
      </c>
      <c r="P20" s="175">
        <v>9156700</v>
      </c>
      <c r="Q20" s="126">
        <v>0</v>
      </c>
      <c r="R20" s="175">
        <v>11066000</v>
      </c>
      <c r="S20" s="126">
        <v>0</v>
      </c>
      <c r="T20" s="127">
        <v>0</v>
      </c>
      <c r="U20" s="126">
        <f t="shared" si="1"/>
        <v>3</v>
      </c>
      <c r="V20" s="127">
        <f t="shared" si="2"/>
        <v>20225688.5</v>
      </c>
      <c r="W20" s="126">
        <f t="shared" si="3"/>
        <v>25</v>
      </c>
      <c r="X20" s="126">
        <f t="shared" si="4"/>
        <v>28893.077111533479</v>
      </c>
      <c r="Y20" s="126">
        <f t="shared" si="5"/>
        <v>71113.047437556248</v>
      </c>
      <c r="Z20" s="126">
        <f t="shared" si="6"/>
        <v>3</v>
      </c>
      <c r="AA20" s="128">
        <f t="shared" si="7"/>
        <v>20225688.5</v>
      </c>
      <c r="AB20" s="126">
        <f t="shared" si="8"/>
        <v>0</v>
      </c>
      <c r="AC20" s="126">
        <f t="shared" si="9"/>
        <v>0</v>
      </c>
      <c r="AD20" s="129" t="s">
        <v>2</v>
      </c>
      <c r="AE20" s="1"/>
      <c r="AF20" s="13"/>
      <c r="AG20" s="14"/>
      <c r="AH20" s="14"/>
      <c r="AI20" s="14"/>
      <c r="AJ20" s="15"/>
      <c r="AK20" s="16"/>
      <c r="AL20" s="16"/>
      <c r="AM20" s="15"/>
      <c r="AN20" s="25">
        <v>70001850</v>
      </c>
      <c r="AO20" s="26">
        <v>28441600</v>
      </c>
      <c r="AP20" s="19"/>
      <c r="AQ20" s="19"/>
      <c r="AR20" s="9"/>
      <c r="AS20" s="20"/>
      <c r="AT20" s="21"/>
      <c r="AU20" s="21"/>
      <c r="AV20" s="22"/>
      <c r="AW20" s="22"/>
      <c r="AY20" s="160">
        <v>2988500</v>
      </c>
      <c r="AZ20" s="160">
        <v>12145200</v>
      </c>
      <c r="BA20" s="158">
        <f>AZ20-AY20</f>
        <v>9156700</v>
      </c>
      <c r="BB20" s="193">
        <v>20222700</v>
      </c>
      <c r="BC20" s="221">
        <f>BB20-BA20</f>
        <v>11066000</v>
      </c>
    </row>
    <row r="21" spans="1:55" ht="67.5" x14ac:dyDescent="0.25">
      <c r="A21" s="130"/>
      <c r="B21" s="131" t="s">
        <v>32</v>
      </c>
      <c r="C21" s="132" t="s">
        <v>33</v>
      </c>
      <c r="D21" s="133" t="s">
        <v>34</v>
      </c>
      <c r="E21" s="134" t="s">
        <v>10</v>
      </c>
      <c r="F21" s="135"/>
      <c r="G21" s="135"/>
      <c r="H21" s="135"/>
      <c r="I21" s="135"/>
      <c r="J21" s="103" t="s">
        <v>35</v>
      </c>
      <c r="K21" s="136">
        <f>AN21*0.001</f>
        <v>74729.150000000009</v>
      </c>
      <c r="L21" s="137"/>
      <c r="M21" s="126"/>
      <c r="N21" s="127"/>
      <c r="O21" s="126"/>
      <c r="P21" s="127"/>
      <c r="Q21" s="126"/>
      <c r="R21" s="127"/>
      <c r="S21" s="126"/>
      <c r="T21" s="127"/>
      <c r="U21" s="126"/>
      <c r="V21" s="127"/>
      <c r="W21" s="126"/>
      <c r="X21" s="126"/>
      <c r="Y21" s="126"/>
      <c r="Z21" s="126"/>
      <c r="AA21" s="128"/>
      <c r="AB21" s="126"/>
      <c r="AC21" s="126"/>
      <c r="AD21" s="129" t="s">
        <v>2</v>
      </c>
      <c r="AE21" s="1" t="s">
        <v>3</v>
      </c>
      <c r="AF21" s="13"/>
      <c r="AG21" s="14" t="s">
        <v>4</v>
      </c>
      <c r="AH21" s="14" t="str">
        <f>IF(AN21&gt;=1,"√",IF(AN21&gt;=0,"X",))</f>
        <v>√</v>
      </c>
      <c r="AI21" s="14" t="str">
        <f>IF(AO21&gt;=1,"√",IF(AO21&gt;=0,"X",))</f>
        <v>√</v>
      </c>
      <c r="AJ21" s="15"/>
      <c r="AK21" s="16"/>
      <c r="AL21" s="16"/>
      <c r="AM21" s="15"/>
      <c r="AN21" s="17">
        <f>AN22</f>
        <v>74729150</v>
      </c>
      <c r="AO21" s="18">
        <f>AO22</f>
        <v>53520250</v>
      </c>
      <c r="AP21" s="19"/>
      <c r="AQ21" s="19"/>
      <c r="AR21" s="9"/>
      <c r="AS21" s="20"/>
      <c r="AT21" s="21"/>
      <c r="AU21" s="21"/>
      <c r="AV21" s="22"/>
      <c r="AW21" s="22"/>
      <c r="AY21" s="161"/>
      <c r="AZ21" s="161"/>
      <c r="BA21" s="158"/>
    </row>
    <row r="22" spans="1:55" ht="22.5" x14ac:dyDescent="0.25">
      <c r="A22" s="117"/>
      <c r="B22" s="118" t="s">
        <v>36</v>
      </c>
      <c r="C22" s="119" t="s">
        <v>37</v>
      </c>
      <c r="D22" s="120" t="s">
        <v>38</v>
      </c>
      <c r="E22" s="121" t="s">
        <v>18</v>
      </c>
      <c r="F22" s="122"/>
      <c r="G22" s="122"/>
      <c r="H22" s="122"/>
      <c r="I22" s="122"/>
      <c r="J22" s="123">
        <v>12</v>
      </c>
      <c r="K22" s="124">
        <f>AN22*0.001</f>
        <v>74729.150000000009</v>
      </c>
      <c r="L22" s="125">
        <f>AO22*0.001</f>
        <v>53520.25</v>
      </c>
      <c r="M22" s="126">
        <f>25%*J22</f>
        <v>3</v>
      </c>
      <c r="N22" s="127">
        <f>4997500*0.001</f>
        <v>4997.5</v>
      </c>
      <c r="O22" s="126">
        <v>0</v>
      </c>
      <c r="P22" s="175">
        <v>11436500</v>
      </c>
      <c r="Q22" s="126">
        <v>0</v>
      </c>
      <c r="R22" s="175">
        <v>24665250</v>
      </c>
      <c r="S22" s="126">
        <v>0</v>
      </c>
      <c r="T22" s="127">
        <v>0</v>
      </c>
      <c r="U22" s="126">
        <f t="shared" si="1"/>
        <v>3</v>
      </c>
      <c r="V22" s="127">
        <f t="shared" si="2"/>
        <v>36106747.5</v>
      </c>
      <c r="W22" s="126">
        <f t="shared" si="3"/>
        <v>25</v>
      </c>
      <c r="X22" s="126">
        <f t="shared" si="4"/>
        <v>48316.818135894755</v>
      </c>
      <c r="Y22" s="126">
        <f t="shared" si="5"/>
        <v>67463.712333182295</v>
      </c>
      <c r="Z22" s="126">
        <f t="shared" si="6"/>
        <v>3</v>
      </c>
      <c r="AA22" s="128">
        <f t="shared" si="7"/>
        <v>36106747.5</v>
      </c>
      <c r="AB22" s="126">
        <f t="shared" si="8"/>
        <v>0</v>
      </c>
      <c r="AC22" s="126">
        <f t="shared" si="9"/>
        <v>0</v>
      </c>
      <c r="AD22" s="129" t="s">
        <v>2</v>
      </c>
      <c r="AE22" s="1" t="s">
        <v>3</v>
      </c>
      <c r="AF22" s="2"/>
      <c r="AG22" s="3" t="s">
        <v>4</v>
      </c>
      <c r="AH22" s="3" t="str">
        <f>IF(AN22&gt;=1,"√",IF(AN22&gt;=0,"X",))</f>
        <v>√</v>
      </c>
      <c r="AI22" s="3" t="str">
        <f>IF(AO22&gt;=1,"√",IF(AO22&gt;=0,"X",))</f>
        <v>√</v>
      </c>
      <c r="AJ22" s="4"/>
      <c r="AK22" s="5"/>
      <c r="AL22" s="5"/>
      <c r="AM22" s="4"/>
      <c r="AN22" s="6">
        <v>74729150</v>
      </c>
      <c r="AO22" s="7">
        <v>53520250</v>
      </c>
      <c r="AP22" s="8"/>
      <c r="AQ22" s="8"/>
      <c r="AR22" s="9"/>
      <c r="AS22" s="10"/>
      <c r="AT22" s="11"/>
      <c r="AU22" s="11"/>
      <c r="AV22" s="12"/>
      <c r="AW22" s="12"/>
      <c r="AY22" s="162">
        <v>4997500</v>
      </c>
      <c r="AZ22" s="162">
        <v>16434000</v>
      </c>
      <c r="BA22" s="158">
        <f>AZ22-AY22</f>
        <v>11436500</v>
      </c>
      <c r="BB22" s="193">
        <v>36101750</v>
      </c>
      <c r="BC22" s="221">
        <f>BB22-BA22</f>
        <v>24665250</v>
      </c>
    </row>
    <row r="23" spans="1:55" ht="67.5" x14ac:dyDescent="0.25">
      <c r="A23" s="130"/>
      <c r="B23" s="131" t="s">
        <v>39</v>
      </c>
      <c r="C23" s="132" t="s">
        <v>40</v>
      </c>
      <c r="D23" s="133" t="s">
        <v>41</v>
      </c>
      <c r="E23" s="134" t="s">
        <v>10</v>
      </c>
      <c r="F23" s="135"/>
      <c r="G23" s="135"/>
      <c r="H23" s="135"/>
      <c r="I23" s="135"/>
      <c r="J23" s="103" t="s">
        <v>14</v>
      </c>
      <c r="K23" s="141"/>
      <c r="L23" s="137"/>
      <c r="M23" s="126"/>
      <c r="N23" s="127"/>
      <c r="O23" s="126"/>
      <c r="P23" s="127"/>
      <c r="Q23" s="126"/>
      <c r="R23" s="127"/>
      <c r="S23" s="126"/>
      <c r="T23" s="127"/>
      <c r="U23" s="126"/>
      <c r="V23" s="127"/>
      <c r="W23" s="126"/>
      <c r="X23" s="126"/>
      <c r="Y23" s="126"/>
      <c r="Z23" s="126"/>
      <c r="AA23" s="128"/>
      <c r="AB23" s="126"/>
      <c r="AC23" s="126"/>
      <c r="AD23" s="129" t="s">
        <v>2</v>
      </c>
      <c r="AE23" s="27"/>
      <c r="AF23" s="13"/>
      <c r="AG23" s="15"/>
      <c r="AH23" s="15"/>
      <c r="AI23" s="15"/>
      <c r="AJ23" s="15"/>
      <c r="AK23" s="16"/>
      <c r="AL23" s="16"/>
      <c r="AM23" s="15"/>
      <c r="AN23" s="24">
        <f>SUM(AN24:AN25)</f>
        <v>139638000</v>
      </c>
      <c r="AO23" s="23">
        <f>AO24+AO25</f>
        <v>118992000</v>
      </c>
      <c r="AP23" s="19"/>
      <c r="AQ23" s="19"/>
      <c r="AR23" s="9"/>
      <c r="AS23" s="20"/>
      <c r="AT23" s="21"/>
      <c r="AU23" s="21"/>
      <c r="AV23" s="22"/>
      <c r="AW23" s="22"/>
      <c r="AY23" s="161"/>
      <c r="AZ23" s="161"/>
      <c r="BA23" s="158"/>
    </row>
    <row r="24" spans="1:55" ht="22.5" x14ac:dyDescent="0.25">
      <c r="A24" s="117"/>
      <c r="B24" s="118" t="s">
        <v>42</v>
      </c>
      <c r="C24" s="119" t="s">
        <v>43</v>
      </c>
      <c r="D24" s="120" t="s">
        <v>44</v>
      </c>
      <c r="E24" s="121" t="s">
        <v>45</v>
      </c>
      <c r="F24" s="122"/>
      <c r="G24" s="122"/>
      <c r="H24" s="122"/>
      <c r="I24" s="122"/>
      <c r="J24" s="123">
        <v>1</v>
      </c>
      <c r="K24" s="144">
        <f>139638000*0.001</f>
        <v>139638</v>
      </c>
      <c r="L24" s="125">
        <f>AO24*0.001</f>
        <v>118992</v>
      </c>
      <c r="M24" s="126">
        <f>99.98%*J24</f>
        <v>0.99980000000000002</v>
      </c>
      <c r="N24" s="127">
        <f>118970000*0.001</f>
        <v>118970</v>
      </c>
      <c r="O24" s="126">
        <v>0</v>
      </c>
      <c r="P24" s="127" t="s">
        <v>288</v>
      </c>
      <c r="Q24" s="126">
        <v>0</v>
      </c>
      <c r="R24" s="127">
        <v>118970000</v>
      </c>
      <c r="S24" s="126">
        <v>0</v>
      </c>
      <c r="T24" s="127">
        <v>0</v>
      </c>
      <c r="U24" s="126">
        <f t="shared" si="1"/>
        <v>0.99980000000000002</v>
      </c>
      <c r="V24" s="127" t="s">
        <v>288</v>
      </c>
      <c r="W24" s="126">
        <f t="shared" si="3"/>
        <v>99.98</v>
      </c>
      <c r="X24" s="126">
        <f t="shared" si="4"/>
        <v>0</v>
      </c>
      <c r="Y24" s="126">
        <f t="shared" si="5"/>
        <v>0</v>
      </c>
      <c r="Z24" s="126">
        <f t="shared" si="6"/>
        <v>0.99980000000000002</v>
      </c>
      <c r="AA24" s="128" t="s">
        <v>288</v>
      </c>
      <c r="AB24" s="126">
        <f t="shared" si="8"/>
        <v>0</v>
      </c>
      <c r="AC24" s="126">
        <f t="shared" si="9"/>
        <v>0</v>
      </c>
      <c r="AD24" s="129" t="s">
        <v>2</v>
      </c>
      <c r="AE24" s="1"/>
      <c r="AF24" s="13"/>
      <c r="AG24" s="14"/>
      <c r="AH24" s="14"/>
      <c r="AI24" s="14"/>
      <c r="AJ24" s="15"/>
      <c r="AK24" s="16"/>
      <c r="AL24" s="16"/>
      <c r="AM24" s="15"/>
      <c r="AN24" s="28">
        <v>139638000</v>
      </c>
      <c r="AO24" s="29">
        <v>118992000</v>
      </c>
      <c r="AP24" s="19"/>
      <c r="AQ24" s="19"/>
      <c r="AR24" s="9"/>
      <c r="AS24" s="20"/>
      <c r="AT24" s="21"/>
      <c r="AU24" s="21"/>
      <c r="AV24" s="22"/>
      <c r="AW24" s="22"/>
      <c r="AY24" s="164">
        <v>118970000</v>
      </c>
      <c r="AZ24" s="164">
        <v>118970000</v>
      </c>
      <c r="BA24" s="158">
        <f>AZ24-AY24</f>
        <v>0</v>
      </c>
      <c r="BB24" s="193">
        <v>118970000</v>
      </c>
      <c r="BC24" s="221">
        <f>BB24-BA24</f>
        <v>118970000</v>
      </c>
    </row>
    <row r="25" spans="1:55" ht="22.5" x14ac:dyDescent="0.25">
      <c r="A25" s="117"/>
      <c r="B25" s="118" t="s">
        <v>46</v>
      </c>
      <c r="C25" s="119" t="s">
        <v>47</v>
      </c>
      <c r="D25" s="120" t="s">
        <v>48</v>
      </c>
      <c r="E25" s="121" t="s">
        <v>49</v>
      </c>
      <c r="F25" s="122"/>
      <c r="G25" s="122"/>
      <c r="H25" s="122"/>
      <c r="I25" s="122"/>
      <c r="J25" s="123">
        <v>1</v>
      </c>
      <c r="K25" s="124">
        <f t="shared" ref="K25:L41" si="11">AN25*0.001</f>
        <v>0</v>
      </c>
      <c r="L25" s="125">
        <f t="shared" si="11"/>
        <v>0</v>
      </c>
      <c r="M25" s="126">
        <v>0</v>
      </c>
      <c r="N25" s="127">
        <v>0</v>
      </c>
      <c r="O25" s="126">
        <v>0</v>
      </c>
      <c r="P25" s="127">
        <v>0</v>
      </c>
      <c r="Q25" s="126">
        <v>0</v>
      </c>
      <c r="R25" s="127">
        <v>0</v>
      </c>
      <c r="S25" s="126">
        <v>0</v>
      </c>
      <c r="T25" s="127">
        <v>0</v>
      </c>
      <c r="U25" s="126">
        <f t="shared" si="1"/>
        <v>0</v>
      </c>
      <c r="V25" s="127">
        <f t="shared" si="2"/>
        <v>0</v>
      </c>
      <c r="W25" s="126">
        <f t="shared" si="3"/>
        <v>0</v>
      </c>
      <c r="X25" s="126">
        <f t="shared" si="4"/>
        <v>0</v>
      </c>
      <c r="Y25" s="126">
        <f t="shared" si="5"/>
        <v>0</v>
      </c>
      <c r="Z25" s="126">
        <f t="shared" si="6"/>
        <v>0</v>
      </c>
      <c r="AA25" s="128">
        <f t="shared" si="7"/>
        <v>0</v>
      </c>
      <c r="AB25" s="126">
        <f t="shared" si="8"/>
        <v>0</v>
      </c>
      <c r="AC25" s="126">
        <f t="shared" si="9"/>
        <v>0</v>
      </c>
      <c r="AD25" s="129" t="s">
        <v>2</v>
      </c>
      <c r="AE25" s="1" t="s">
        <v>3</v>
      </c>
      <c r="AF25" s="2"/>
      <c r="AG25" s="3" t="s">
        <v>4</v>
      </c>
      <c r="AH25" s="3" t="str">
        <f t="shared" ref="AH25:AI36" si="12">IF(AN25&gt;=1,"√",IF(AN25&gt;=0,"X",))</f>
        <v>X</v>
      </c>
      <c r="AI25" s="3" t="str">
        <f t="shared" si="12"/>
        <v>X</v>
      </c>
      <c r="AJ25" s="4"/>
      <c r="AK25" s="5"/>
      <c r="AL25" s="5"/>
      <c r="AM25" s="4"/>
      <c r="AN25" s="6">
        <v>0</v>
      </c>
      <c r="AO25" s="7">
        <v>0</v>
      </c>
      <c r="AP25" s="8"/>
      <c r="AQ25" s="8"/>
      <c r="AR25" s="9"/>
      <c r="AS25" s="10"/>
      <c r="AT25" s="11"/>
      <c r="AU25" s="11"/>
      <c r="AV25" s="12"/>
      <c r="AW25" s="12"/>
      <c r="AY25" s="161">
        <v>0</v>
      </c>
      <c r="AZ25" s="165" t="s">
        <v>288</v>
      </c>
      <c r="BA25" s="166"/>
      <c r="BB25" s="193" t="s">
        <v>288</v>
      </c>
    </row>
    <row r="26" spans="1:55" ht="67.5" x14ac:dyDescent="0.25">
      <c r="A26" s="130"/>
      <c r="B26" s="131" t="s">
        <v>50</v>
      </c>
      <c r="C26" s="132" t="s">
        <v>51</v>
      </c>
      <c r="D26" s="133" t="s">
        <v>52</v>
      </c>
      <c r="E26" s="134" t="s">
        <v>10</v>
      </c>
      <c r="F26" s="134">
        <v>1</v>
      </c>
      <c r="G26" s="135"/>
      <c r="H26" s="135"/>
      <c r="I26" s="135"/>
      <c r="J26" s="103" t="s">
        <v>14</v>
      </c>
      <c r="K26" s="136">
        <f t="shared" si="11"/>
        <v>1973635.59</v>
      </c>
      <c r="L26" s="137"/>
      <c r="M26" s="126"/>
      <c r="N26" s="127"/>
      <c r="O26" s="126"/>
      <c r="P26" s="127"/>
      <c r="Q26" s="126"/>
      <c r="R26" s="127"/>
      <c r="S26" s="126"/>
      <c r="T26" s="127"/>
      <c r="U26" s="126"/>
      <c r="V26" s="127"/>
      <c r="W26" s="126"/>
      <c r="X26" s="126"/>
      <c r="Y26" s="126"/>
      <c r="Z26" s="126"/>
      <c r="AA26" s="128"/>
      <c r="AB26" s="126"/>
      <c r="AC26" s="126"/>
      <c r="AD26" s="129" t="s">
        <v>2</v>
      </c>
      <c r="AE26" s="1" t="s">
        <v>3</v>
      </c>
      <c r="AF26" s="13"/>
      <c r="AG26" s="14" t="s">
        <v>4</v>
      </c>
      <c r="AH26" s="14" t="str">
        <f t="shared" si="12"/>
        <v>√</v>
      </c>
      <c r="AI26" s="14" t="str">
        <f t="shared" si="12"/>
        <v>√</v>
      </c>
      <c r="AJ26" s="15"/>
      <c r="AK26" s="16"/>
      <c r="AL26" s="16"/>
      <c r="AM26" s="15"/>
      <c r="AN26" s="17">
        <f>SUM(AN27:AN32)</f>
        <v>1973635590</v>
      </c>
      <c r="AO26" s="18">
        <f>SUM(AO27:AO32)</f>
        <v>1841885690</v>
      </c>
      <c r="AP26" s="19"/>
      <c r="AQ26" s="19"/>
      <c r="AR26" s="9"/>
      <c r="AS26" s="20"/>
      <c r="AT26" s="21"/>
      <c r="AU26" s="21"/>
      <c r="AV26" s="22"/>
      <c r="AW26" s="22"/>
      <c r="AY26" s="161"/>
      <c r="AZ26" s="161"/>
      <c r="BA26" s="158"/>
    </row>
    <row r="27" spans="1:55" ht="22.5" x14ac:dyDescent="0.25">
      <c r="A27" s="117"/>
      <c r="B27" s="118" t="s">
        <v>53</v>
      </c>
      <c r="C27" s="119" t="s">
        <v>54</v>
      </c>
      <c r="D27" s="120" t="s">
        <v>55</v>
      </c>
      <c r="E27" s="121" t="s">
        <v>45</v>
      </c>
      <c r="F27" s="122"/>
      <c r="G27" s="122"/>
      <c r="H27" s="122"/>
      <c r="I27" s="122"/>
      <c r="J27" s="123">
        <v>1</v>
      </c>
      <c r="K27" s="124">
        <f t="shared" si="11"/>
        <v>65388.55</v>
      </c>
      <c r="L27" s="125">
        <f t="shared" si="11"/>
        <v>69877.899999999994</v>
      </c>
      <c r="M27" s="126">
        <v>0</v>
      </c>
      <c r="N27" s="127">
        <v>0</v>
      </c>
      <c r="O27" s="126">
        <v>0</v>
      </c>
      <c r="P27" s="127">
        <v>0</v>
      </c>
      <c r="Q27" s="126">
        <v>0</v>
      </c>
      <c r="R27" s="127">
        <v>69873400</v>
      </c>
      <c r="S27" s="126">
        <v>0</v>
      </c>
      <c r="T27" s="127">
        <v>0</v>
      </c>
      <c r="U27" s="126">
        <f t="shared" si="1"/>
        <v>0</v>
      </c>
      <c r="V27" s="127">
        <f t="shared" si="2"/>
        <v>69873400</v>
      </c>
      <c r="W27" s="126">
        <f t="shared" si="3"/>
        <v>0</v>
      </c>
      <c r="X27" s="126">
        <f t="shared" si="4"/>
        <v>106858.76961639308</v>
      </c>
      <c r="Y27" s="126">
        <f t="shared" si="5"/>
        <v>99993.560195712809</v>
      </c>
      <c r="Z27" s="126">
        <f t="shared" si="6"/>
        <v>0</v>
      </c>
      <c r="AA27" s="128">
        <f t="shared" si="7"/>
        <v>69873400</v>
      </c>
      <c r="AB27" s="126">
        <f t="shared" si="8"/>
        <v>0</v>
      </c>
      <c r="AC27" s="126">
        <f t="shared" si="9"/>
        <v>0</v>
      </c>
      <c r="AD27" s="129" t="s">
        <v>2</v>
      </c>
      <c r="AE27" s="1" t="s">
        <v>3</v>
      </c>
      <c r="AF27" s="2"/>
      <c r="AG27" s="3" t="s">
        <v>4</v>
      </c>
      <c r="AH27" s="3" t="str">
        <f t="shared" si="12"/>
        <v>√</v>
      </c>
      <c r="AI27" s="3" t="str">
        <f t="shared" si="12"/>
        <v>√</v>
      </c>
      <c r="AJ27" s="4"/>
      <c r="AK27" s="5"/>
      <c r="AL27" s="5"/>
      <c r="AM27" s="4"/>
      <c r="AN27" s="6">
        <v>65388550</v>
      </c>
      <c r="AO27" s="7">
        <v>69877900</v>
      </c>
      <c r="AP27" s="8"/>
      <c r="AQ27" s="8"/>
      <c r="AR27" s="9"/>
      <c r="AS27" s="10"/>
      <c r="AT27" s="11"/>
      <c r="AU27" s="11"/>
      <c r="AV27" s="12"/>
      <c r="AW27" s="12"/>
      <c r="AY27" s="161">
        <v>0</v>
      </c>
      <c r="AZ27" s="161" t="s">
        <v>288</v>
      </c>
      <c r="BA27" s="166"/>
      <c r="BB27" s="193">
        <v>69873400</v>
      </c>
      <c r="BC27" s="221">
        <f>BB27-BA27</f>
        <v>69873400</v>
      </c>
    </row>
    <row r="28" spans="1:55" ht="22.5" x14ac:dyDescent="0.25">
      <c r="A28" s="117"/>
      <c r="B28" s="118" t="s">
        <v>56</v>
      </c>
      <c r="C28" s="119" t="s">
        <v>57</v>
      </c>
      <c r="D28" s="120" t="s">
        <v>58</v>
      </c>
      <c r="E28" s="121" t="s">
        <v>45</v>
      </c>
      <c r="F28" s="122"/>
      <c r="G28" s="122"/>
      <c r="H28" s="122"/>
      <c r="I28" s="122"/>
      <c r="J28" s="123">
        <v>1</v>
      </c>
      <c r="K28" s="124">
        <f t="shared" si="11"/>
        <v>83683</v>
      </c>
      <c r="L28" s="125">
        <f t="shared" si="11"/>
        <v>29350</v>
      </c>
      <c r="M28" s="126">
        <v>0</v>
      </c>
      <c r="N28" s="127">
        <v>0</v>
      </c>
      <c r="O28" s="126">
        <v>0</v>
      </c>
      <c r="P28" s="175">
        <v>8000000</v>
      </c>
      <c r="Q28" s="126">
        <v>0</v>
      </c>
      <c r="R28" s="175">
        <v>21350000</v>
      </c>
      <c r="S28" s="126">
        <v>0</v>
      </c>
      <c r="T28" s="127">
        <v>0</v>
      </c>
      <c r="U28" s="126">
        <f t="shared" si="1"/>
        <v>0</v>
      </c>
      <c r="V28" s="127">
        <f t="shared" si="2"/>
        <v>29350000</v>
      </c>
      <c r="W28" s="126">
        <f t="shared" si="3"/>
        <v>0</v>
      </c>
      <c r="X28" s="126">
        <f t="shared" si="4"/>
        <v>35072.834386912509</v>
      </c>
      <c r="Y28" s="126">
        <f t="shared" si="5"/>
        <v>100000</v>
      </c>
      <c r="Z28" s="126">
        <f t="shared" si="6"/>
        <v>0</v>
      </c>
      <c r="AA28" s="128">
        <f t="shared" si="7"/>
        <v>29350000</v>
      </c>
      <c r="AB28" s="126">
        <f t="shared" si="8"/>
        <v>0</v>
      </c>
      <c r="AC28" s="126">
        <f t="shared" si="9"/>
        <v>0</v>
      </c>
      <c r="AD28" s="129" t="s">
        <v>2</v>
      </c>
      <c r="AE28" s="1" t="s">
        <v>3</v>
      </c>
      <c r="AF28" s="2"/>
      <c r="AG28" s="3" t="s">
        <v>4</v>
      </c>
      <c r="AH28" s="3" t="str">
        <f t="shared" si="12"/>
        <v>√</v>
      </c>
      <c r="AI28" s="3" t="str">
        <f t="shared" si="12"/>
        <v>√</v>
      </c>
      <c r="AJ28" s="4"/>
      <c r="AK28" s="5"/>
      <c r="AL28" s="5"/>
      <c r="AM28" s="4"/>
      <c r="AN28" s="6">
        <v>83683000</v>
      </c>
      <c r="AO28" s="7">
        <v>29350000</v>
      </c>
      <c r="AP28" s="8"/>
      <c r="AQ28" s="8"/>
      <c r="AR28" s="9"/>
      <c r="AS28" s="10"/>
      <c r="AT28" s="11"/>
      <c r="AU28" s="11"/>
      <c r="AV28" s="12"/>
      <c r="AW28" s="12"/>
      <c r="AY28" s="165" t="s">
        <v>288</v>
      </c>
      <c r="AZ28" s="161">
        <v>8000000</v>
      </c>
      <c r="BA28" s="158">
        <v>8000000</v>
      </c>
      <c r="BB28" s="193">
        <v>29350000</v>
      </c>
      <c r="BC28" s="221">
        <f>BB28-BA28</f>
        <v>21350000</v>
      </c>
    </row>
    <row r="29" spans="1:55" ht="15.75" x14ac:dyDescent="0.25">
      <c r="A29" s="117"/>
      <c r="B29" s="118" t="s">
        <v>59</v>
      </c>
      <c r="C29" s="119" t="s">
        <v>60</v>
      </c>
      <c r="D29" s="120" t="s">
        <v>61</v>
      </c>
      <c r="E29" s="121" t="s">
        <v>45</v>
      </c>
      <c r="F29" s="122"/>
      <c r="G29" s="122"/>
      <c r="H29" s="122"/>
      <c r="I29" s="122"/>
      <c r="J29" s="123">
        <v>12</v>
      </c>
      <c r="K29" s="124">
        <f t="shared" si="11"/>
        <v>133267.19</v>
      </c>
      <c r="L29" s="125">
        <f t="shared" si="11"/>
        <v>155555.94</v>
      </c>
      <c r="M29" s="126">
        <f>75%*J29</f>
        <v>9</v>
      </c>
      <c r="N29" s="127">
        <f>114832350*0.001</f>
        <v>114832.35</v>
      </c>
      <c r="O29" s="126">
        <v>0</v>
      </c>
      <c r="P29" s="175">
        <v>10810150</v>
      </c>
      <c r="Q29" s="126">
        <v>0</v>
      </c>
      <c r="R29" s="175">
        <v>129173750</v>
      </c>
      <c r="S29" s="126">
        <v>0</v>
      </c>
      <c r="T29" s="127">
        <v>0</v>
      </c>
      <c r="U29" s="126">
        <f t="shared" si="1"/>
        <v>9</v>
      </c>
      <c r="V29" s="127">
        <f t="shared" si="2"/>
        <v>140098732.34999999</v>
      </c>
      <c r="W29" s="126">
        <f t="shared" si="3"/>
        <v>75</v>
      </c>
      <c r="X29" s="126">
        <f t="shared" si="4"/>
        <v>105126.19974203703</v>
      </c>
      <c r="Y29" s="126">
        <f t="shared" si="5"/>
        <v>90063.248211543701</v>
      </c>
      <c r="Z29" s="126">
        <f t="shared" si="6"/>
        <v>9</v>
      </c>
      <c r="AA29" s="128">
        <f t="shared" si="7"/>
        <v>140098732.34999999</v>
      </c>
      <c r="AB29" s="126">
        <f t="shared" si="8"/>
        <v>0</v>
      </c>
      <c r="AC29" s="126">
        <f t="shared" si="9"/>
        <v>0</v>
      </c>
      <c r="AD29" s="129" t="s">
        <v>2</v>
      </c>
      <c r="AE29" s="1" t="s">
        <v>3</v>
      </c>
      <c r="AF29" s="2"/>
      <c r="AG29" s="3" t="s">
        <v>4</v>
      </c>
      <c r="AH29" s="3" t="str">
        <f t="shared" si="12"/>
        <v>√</v>
      </c>
      <c r="AI29" s="3" t="str">
        <f t="shared" si="12"/>
        <v>√</v>
      </c>
      <c r="AJ29" s="4"/>
      <c r="AK29" s="5"/>
      <c r="AL29" s="5"/>
      <c r="AM29" s="4"/>
      <c r="AN29" s="6">
        <v>133267190</v>
      </c>
      <c r="AO29" s="7">
        <v>155555940</v>
      </c>
      <c r="AP29" s="8"/>
      <c r="AQ29" s="8"/>
      <c r="AR29" s="9"/>
      <c r="AS29" s="10"/>
      <c r="AT29" s="11"/>
      <c r="AU29" s="11"/>
      <c r="AV29" s="12"/>
      <c r="AW29" s="12"/>
      <c r="AY29" s="160">
        <v>114832350</v>
      </c>
      <c r="AZ29" s="160">
        <v>125642500</v>
      </c>
      <c r="BA29" s="158">
        <f>AZ29-AY29</f>
        <v>10810150</v>
      </c>
      <c r="BB29" s="193">
        <v>139983900</v>
      </c>
      <c r="BC29" s="221">
        <f>BB29-BA29</f>
        <v>129173750</v>
      </c>
    </row>
    <row r="30" spans="1:55" ht="22.5" x14ac:dyDescent="0.25">
      <c r="A30" s="117"/>
      <c r="B30" s="118" t="s">
        <v>62</v>
      </c>
      <c r="C30" s="119" t="s">
        <v>63</v>
      </c>
      <c r="D30" s="120" t="s">
        <v>64</v>
      </c>
      <c r="E30" s="121" t="s">
        <v>18</v>
      </c>
      <c r="F30" s="122"/>
      <c r="G30" s="122"/>
      <c r="H30" s="122"/>
      <c r="I30" s="122"/>
      <c r="J30" s="123">
        <v>12</v>
      </c>
      <c r="K30" s="124">
        <f t="shared" si="11"/>
        <v>93240</v>
      </c>
      <c r="L30" s="125">
        <f t="shared" si="11"/>
        <v>100800</v>
      </c>
      <c r="M30" s="126">
        <f>25%*J30</f>
        <v>3</v>
      </c>
      <c r="N30" s="127">
        <f>17280000*0.001</f>
        <v>17280</v>
      </c>
      <c r="O30" s="126">
        <v>0</v>
      </c>
      <c r="P30" s="175">
        <v>22680000</v>
      </c>
      <c r="Q30" s="126">
        <v>0</v>
      </c>
      <c r="R30" s="175">
        <v>39960000</v>
      </c>
      <c r="S30" s="126">
        <v>0</v>
      </c>
      <c r="T30" s="127">
        <v>0</v>
      </c>
      <c r="U30" s="126">
        <f t="shared" si="1"/>
        <v>3</v>
      </c>
      <c r="V30" s="127">
        <f t="shared" si="2"/>
        <v>62657280</v>
      </c>
      <c r="W30" s="126">
        <f t="shared" si="3"/>
        <v>25</v>
      </c>
      <c r="X30" s="126">
        <f t="shared" si="4"/>
        <v>67200</v>
      </c>
      <c r="Y30" s="126">
        <f t="shared" si="5"/>
        <v>62160</v>
      </c>
      <c r="Z30" s="126">
        <f t="shared" si="6"/>
        <v>3</v>
      </c>
      <c r="AA30" s="128">
        <f t="shared" si="7"/>
        <v>62657280</v>
      </c>
      <c r="AB30" s="126">
        <f t="shared" si="8"/>
        <v>0</v>
      </c>
      <c r="AC30" s="126">
        <f t="shared" si="9"/>
        <v>0</v>
      </c>
      <c r="AD30" s="129" t="s">
        <v>2</v>
      </c>
      <c r="AE30" s="1" t="s">
        <v>3</v>
      </c>
      <c r="AF30" s="2"/>
      <c r="AG30" s="3" t="s">
        <v>4</v>
      </c>
      <c r="AH30" s="3" t="str">
        <f t="shared" si="12"/>
        <v>√</v>
      </c>
      <c r="AI30" s="3" t="str">
        <f t="shared" si="12"/>
        <v>√</v>
      </c>
      <c r="AJ30" s="4"/>
      <c r="AK30" s="5"/>
      <c r="AL30" s="5"/>
      <c r="AM30" s="4"/>
      <c r="AN30" s="6">
        <v>93240000</v>
      </c>
      <c r="AO30" s="7">
        <v>100800000</v>
      </c>
      <c r="AP30" s="8"/>
      <c r="AQ30" s="8"/>
      <c r="AR30" s="9"/>
      <c r="AS30" s="10"/>
      <c r="AT30" s="11"/>
      <c r="AU30" s="11"/>
      <c r="AV30" s="12"/>
      <c r="AW30" s="12"/>
      <c r="AY30" s="160">
        <v>17280000</v>
      </c>
      <c r="AZ30" s="160">
        <v>39960000</v>
      </c>
      <c r="BA30" s="158">
        <f>AZ30-AY30</f>
        <v>22680000</v>
      </c>
      <c r="BB30" s="193">
        <v>62640000</v>
      </c>
      <c r="BC30" s="221">
        <f>BB30-BA30</f>
        <v>39960000</v>
      </c>
    </row>
    <row r="31" spans="1:55" ht="15.75" x14ac:dyDescent="0.25">
      <c r="A31" s="117"/>
      <c r="B31" s="118" t="s">
        <v>65</v>
      </c>
      <c r="C31" s="119" t="s">
        <v>66</v>
      </c>
      <c r="D31" s="120" t="s">
        <v>67</v>
      </c>
      <c r="E31" s="121" t="s">
        <v>31</v>
      </c>
      <c r="F31" s="122"/>
      <c r="G31" s="122"/>
      <c r="H31" s="122"/>
      <c r="I31" s="122"/>
      <c r="J31" s="123">
        <v>12</v>
      </c>
      <c r="K31" s="124">
        <f t="shared" si="11"/>
        <v>775755.85</v>
      </c>
      <c r="L31" s="125">
        <f t="shared" si="11"/>
        <v>1030365.85</v>
      </c>
      <c r="M31" s="126">
        <f>25%*J31</f>
        <v>3</v>
      </c>
      <c r="N31" s="127">
        <f>166309850*0.001</f>
        <v>166309.85</v>
      </c>
      <c r="O31" s="126">
        <v>0</v>
      </c>
      <c r="P31" s="175">
        <v>230024100</v>
      </c>
      <c r="Q31" s="126">
        <v>0</v>
      </c>
      <c r="R31" s="175">
        <v>375173300</v>
      </c>
      <c r="S31" s="126">
        <v>0</v>
      </c>
      <c r="T31" s="127">
        <v>0</v>
      </c>
      <c r="U31" s="126">
        <f t="shared" si="1"/>
        <v>3</v>
      </c>
      <c r="V31" s="127">
        <f t="shared" si="2"/>
        <v>605363709.85000002</v>
      </c>
      <c r="W31" s="126">
        <f t="shared" si="3"/>
        <v>25</v>
      </c>
      <c r="X31" s="126">
        <f t="shared" si="4"/>
        <v>78035.339320999003</v>
      </c>
      <c r="Y31" s="126">
        <f t="shared" si="5"/>
        <v>58752.307236308356</v>
      </c>
      <c r="Z31" s="126">
        <f t="shared" si="6"/>
        <v>3</v>
      </c>
      <c r="AA31" s="128">
        <f t="shared" si="7"/>
        <v>605363709.85000002</v>
      </c>
      <c r="AB31" s="126">
        <f t="shared" si="8"/>
        <v>0</v>
      </c>
      <c r="AC31" s="126">
        <f t="shared" si="9"/>
        <v>0</v>
      </c>
      <c r="AD31" s="129" t="s">
        <v>2</v>
      </c>
      <c r="AE31" s="1" t="s">
        <v>3</v>
      </c>
      <c r="AF31" s="2"/>
      <c r="AG31" s="3" t="s">
        <v>4</v>
      </c>
      <c r="AH31" s="3" t="str">
        <f t="shared" si="12"/>
        <v>√</v>
      </c>
      <c r="AI31" s="3" t="str">
        <f t="shared" si="12"/>
        <v>√</v>
      </c>
      <c r="AJ31" s="4"/>
      <c r="AK31" s="5"/>
      <c r="AL31" s="5"/>
      <c r="AM31" s="4"/>
      <c r="AN31" s="6">
        <v>775755850</v>
      </c>
      <c r="AO31" s="7">
        <v>1030365850</v>
      </c>
      <c r="AP31" s="8"/>
      <c r="AQ31" s="8"/>
      <c r="AR31" s="9"/>
      <c r="AS31" s="10"/>
      <c r="AT31" s="11"/>
      <c r="AU31" s="11"/>
      <c r="AV31" s="12"/>
      <c r="AW31" s="12"/>
      <c r="AY31" s="160">
        <v>166309850</v>
      </c>
      <c r="AZ31" s="160">
        <v>396333950</v>
      </c>
      <c r="BA31" s="158">
        <f>AZ31-AY31</f>
        <v>230024100</v>
      </c>
      <c r="BB31" s="193">
        <v>605197400</v>
      </c>
      <c r="BC31" s="221">
        <f>BB31-BA31</f>
        <v>375173300</v>
      </c>
    </row>
    <row r="32" spans="1:55" ht="22.5" x14ac:dyDescent="0.25">
      <c r="A32" s="117"/>
      <c r="B32" s="118" t="s">
        <v>68</v>
      </c>
      <c r="C32" s="119" t="s">
        <v>69</v>
      </c>
      <c r="D32" s="120" t="s">
        <v>70</v>
      </c>
      <c r="E32" s="121" t="s">
        <v>31</v>
      </c>
      <c r="F32" s="122"/>
      <c r="G32" s="122"/>
      <c r="H32" s="122"/>
      <c r="I32" s="122"/>
      <c r="J32" s="123">
        <v>12</v>
      </c>
      <c r="K32" s="124">
        <f t="shared" si="11"/>
        <v>822301</v>
      </c>
      <c r="L32" s="125">
        <f t="shared" si="11"/>
        <v>455936</v>
      </c>
      <c r="M32" s="126">
        <f>4.95%*J32</f>
        <v>0.59400000000000008</v>
      </c>
      <c r="N32" s="127">
        <f>22724500*0.001</f>
        <v>22724.5</v>
      </c>
      <c r="O32" s="126">
        <v>0</v>
      </c>
      <c r="P32" s="175">
        <v>100790520</v>
      </c>
      <c r="Q32" s="126">
        <v>0</v>
      </c>
      <c r="R32" s="175">
        <v>134807205</v>
      </c>
      <c r="S32" s="126">
        <v>0</v>
      </c>
      <c r="T32" s="127">
        <v>0</v>
      </c>
      <c r="U32" s="126">
        <f t="shared" si="1"/>
        <v>0.59400000000000008</v>
      </c>
      <c r="V32" s="127">
        <f t="shared" si="2"/>
        <v>235620449.5</v>
      </c>
      <c r="W32" s="126">
        <f t="shared" si="3"/>
        <v>4.9500000000000011</v>
      </c>
      <c r="X32" s="126">
        <f t="shared" si="4"/>
        <v>28653.795811995849</v>
      </c>
      <c r="Y32" s="126">
        <f t="shared" si="5"/>
        <v>51678.404315517968</v>
      </c>
      <c r="Z32" s="126">
        <f t="shared" si="6"/>
        <v>0.59400000000000008</v>
      </c>
      <c r="AA32" s="128">
        <f t="shared" si="7"/>
        <v>235620449.5</v>
      </c>
      <c r="AB32" s="126">
        <f t="shared" si="8"/>
        <v>0</v>
      </c>
      <c r="AC32" s="126">
        <f t="shared" si="9"/>
        <v>0</v>
      </c>
      <c r="AD32" s="129" t="s">
        <v>2</v>
      </c>
      <c r="AE32" s="1" t="s">
        <v>3</v>
      </c>
      <c r="AF32" s="2"/>
      <c r="AG32" s="3" t="s">
        <v>4</v>
      </c>
      <c r="AH32" s="3" t="str">
        <f t="shared" si="12"/>
        <v>√</v>
      </c>
      <c r="AI32" s="3" t="str">
        <f t="shared" si="12"/>
        <v>√</v>
      </c>
      <c r="AJ32" s="4"/>
      <c r="AK32" s="5"/>
      <c r="AL32" s="5"/>
      <c r="AM32" s="4"/>
      <c r="AN32" s="6">
        <v>822301000</v>
      </c>
      <c r="AO32" s="7">
        <v>455936000</v>
      </c>
      <c r="AP32" s="8"/>
      <c r="AQ32" s="8"/>
      <c r="AR32" s="9"/>
      <c r="AS32" s="10"/>
      <c r="AT32" s="11"/>
      <c r="AU32" s="11"/>
      <c r="AV32" s="12"/>
      <c r="AW32" s="12"/>
      <c r="AY32" s="160">
        <v>22724500</v>
      </c>
      <c r="AZ32" s="160">
        <v>123515020</v>
      </c>
      <c r="BA32" s="158">
        <f>AZ32-AY32</f>
        <v>100790520</v>
      </c>
      <c r="BB32" s="193">
        <v>235597725</v>
      </c>
      <c r="BC32" s="221">
        <f>BB32-BA32</f>
        <v>134807205</v>
      </c>
    </row>
    <row r="33" spans="1:55" ht="67.5" x14ac:dyDescent="0.25">
      <c r="A33" s="130"/>
      <c r="B33" s="131" t="s">
        <v>71</v>
      </c>
      <c r="C33" s="132" t="s">
        <v>72</v>
      </c>
      <c r="D33" s="133" t="s">
        <v>73</v>
      </c>
      <c r="E33" s="134" t="s">
        <v>10</v>
      </c>
      <c r="F33" s="135"/>
      <c r="G33" s="135"/>
      <c r="H33" s="135"/>
      <c r="I33" s="135"/>
      <c r="J33" s="103" t="s">
        <v>14</v>
      </c>
      <c r="K33" s="136">
        <f t="shared" si="11"/>
        <v>340172.05300000001</v>
      </c>
      <c r="L33" s="137"/>
      <c r="M33" s="126"/>
      <c r="N33" s="127"/>
      <c r="O33" s="126"/>
      <c r="P33" s="127"/>
      <c r="Q33" s="126"/>
      <c r="R33" s="127"/>
      <c r="S33" s="126"/>
      <c r="T33" s="127"/>
      <c r="U33" s="126"/>
      <c r="V33" s="127"/>
      <c r="W33" s="126"/>
      <c r="X33" s="126"/>
      <c r="Y33" s="126"/>
      <c r="Z33" s="126"/>
      <c r="AA33" s="128"/>
      <c r="AB33" s="126"/>
      <c r="AC33" s="126"/>
      <c r="AD33" s="129" t="s">
        <v>2</v>
      </c>
      <c r="AE33" s="1" t="s">
        <v>3</v>
      </c>
      <c r="AF33" s="13"/>
      <c r="AG33" s="14" t="s">
        <v>4</v>
      </c>
      <c r="AH33" s="14" t="str">
        <f t="shared" si="12"/>
        <v>√</v>
      </c>
      <c r="AI33" s="14" t="str">
        <f t="shared" si="12"/>
        <v>√</v>
      </c>
      <c r="AJ33" s="15"/>
      <c r="AK33" s="16"/>
      <c r="AL33" s="16"/>
      <c r="AM33" s="15"/>
      <c r="AN33" s="17">
        <f>SUM(AN34:AN39)</f>
        <v>340172053</v>
      </c>
      <c r="AO33" s="18">
        <f>SUM(AO34:AO39)</f>
        <v>1478525373</v>
      </c>
      <c r="AP33" s="19"/>
      <c r="AQ33" s="19"/>
      <c r="AR33" s="9"/>
      <c r="AS33" s="20"/>
      <c r="AT33" s="21"/>
      <c r="AU33" s="21"/>
      <c r="AV33" s="22"/>
      <c r="AW33" s="22"/>
      <c r="AY33" s="161"/>
      <c r="AZ33" s="161"/>
      <c r="BA33" s="158"/>
    </row>
    <row r="34" spans="1:55" ht="22.5" x14ac:dyDescent="0.25">
      <c r="A34" s="117"/>
      <c r="B34" s="118" t="s">
        <v>74</v>
      </c>
      <c r="C34" s="119" t="s">
        <v>75</v>
      </c>
      <c r="D34" s="120" t="s">
        <v>76</v>
      </c>
      <c r="E34" s="121" t="s">
        <v>77</v>
      </c>
      <c r="F34" s="122"/>
      <c r="G34" s="122"/>
      <c r="H34" s="122"/>
      <c r="I34" s="122"/>
      <c r="J34" s="123">
        <v>2</v>
      </c>
      <c r="K34" s="124">
        <f t="shared" si="11"/>
        <v>0</v>
      </c>
      <c r="L34" s="125">
        <f t="shared" si="11"/>
        <v>0</v>
      </c>
      <c r="M34" s="126">
        <v>0</v>
      </c>
      <c r="N34" s="127">
        <v>0</v>
      </c>
      <c r="O34" s="126">
        <v>0</v>
      </c>
      <c r="P34" s="127">
        <v>0</v>
      </c>
      <c r="Q34" s="126">
        <v>0</v>
      </c>
      <c r="R34" s="127">
        <v>0</v>
      </c>
      <c r="S34" s="126">
        <v>0</v>
      </c>
      <c r="T34" s="127">
        <v>0</v>
      </c>
      <c r="U34" s="126">
        <f t="shared" si="1"/>
        <v>0</v>
      </c>
      <c r="V34" s="127">
        <f t="shared" si="2"/>
        <v>0</v>
      </c>
      <c r="W34" s="126">
        <f t="shared" si="3"/>
        <v>0</v>
      </c>
      <c r="X34" s="126">
        <f t="shared" si="4"/>
        <v>0</v>
      </c>
      <c r="Y34" s="126">
        <f t="shared" si="5"/>
        <v>0</v>
      </c>
      <c r="Z34" s="126">
        <f t="shared" si="6"/>
        <v>0</v>
      </c>
      <c r="AA34" s="128">
        <f t="shared" si="7"/>
        <v>0</v>
      </c>
      <c r="AB34" s="126">
        <f t="shared" si="8"/>
        <v>0</v>
      </c>
      <c r="AC34" s="126">
        <f t="shared" si="9"/>
        <v>0</v>
      </c>
      <c r="AD34" s="129" t="s">
        <v>2</v>
      </c>
      <c r="AE34" s="1" t="s">
        <v>3</v>
      </c>
      <c r="AF34" s="2"/>
      <c r="AG34" s="3" t="s">
        <v>4</v>
      </c>
      <c r="AH34" s="3" t="str">
        <f t="shared" si="12"/>
        <v>X</v>
      </c>
      <c r="AI34" s="3" t="str">
        <f t="shared" si="12"/>
        <v>X</v>
      </c>
      <c r="AJ34" s="4"/>
      <c r="AK34" s="5"/>
      <c r="AL34" s="5"/>
      <c r="AM34" s="4"/>
      <c r="AN34" s="6">
        <v>0</v>
      </c>
      <c r="AO34" s="7">
        <v>0</v>
      </c>
      <c r="AP34" s="8"/>
      <c r="AQ34" s="8"/>
      <c r="AR34" s="9"/>
      <c r="AS34" s="10"/>
      <c r="AT34" s="11"/>
      <c r="AU34" s="11"/>
      <c r="AV34" s="30"/>
      <c r="AW34" s="12"/>
      <c r="AY34" s="161" t="s">
        <v>288</v>
      </c>
      <c r="AZ34" s="161" t="s">
        <v>288</v>
      </c>
      <c r="BA34" s="166"/>
    </row>
    <row r="35" spans="1:55" ht="22.5" x14ac:dyDescent="0.25">
      <c r="A35" s="117"/>
      <c r="B35" s="118" t="s">
        <v>78</v>
      </c>
      <c r="C35" s="119" t="s">
        <v>79</v>
      </c>
      <c r="D35" s="120" t="s">
        <v>80</v>
      </c>
      <c r="E35" s="121" t="s">
        <v>77</v>
      </c>
      <c r="F35" s="122"/>
      <c r="G35" s="122"/>
      <c r="H35" s="122"/>
      <c r="I35" s="122"/>
      <c r="J35" s="123">
        <v>3</v>
      </c>
      <c r="K35" s="124">
        <f t="shared" si="11"/>
        <v>0</v>
      </c>
      <c r="L35" s="125">
        <f t="shared" si="11"/>
        <v>1090427</v>
      </c>
      <c r="M35" s="126">
        <f>98.33%*J35</f>
        <v>2.9499</v>
      </c>
      <c r="N35" s="127">
        <f>1060263500*0.001</f>
        <v>1060263.5</v>
      </c>
      <c r="O35" s="126">
        <v>0</v>
      </c>
      <c r="P35" s="175">
        <v>21040000</v>
      </c>
      <c r="Q35" s="126">
        <v>0</v>
      </c>
      <c r="R35" s="175">
        <v>1060263500</v>
      </c>
      <c r="S35" s="126">
        <v>0</v>
      </c>
      <c r="T35" s="127">
        <v>0</v>
      </c>
      <c r="U35" s="126">
        <f t="shared" si="1"/>
        <v>2.9499</v>
      </c>
      <c r="V35" s="127">
        <f t="shared" si="2"/>
        <v>1082363763.5</v>
      </c>
      <c r="W35" s="126">
        <f t="shared" si="3"/>
        <v>98.33</v>
      </c>
      <c r="X35" s="126">
        <f t="shared" si="4"/>
        <v>0</v>
      </c>
      <c r="Y35" s="126">
        <f t="shared" si="5"/>
        <v>99260.543209219875</v>
      </c>
      <c r="Z35" s="126">
        <f t="shared" si="6"/>
        <v>2.9499</v>
      </c>
      <c r="AA35" s="128">
        <f t="shared" si="7"/>
        <v>1082363763.5</v>
      </c>
      <c r="AB35" s="126">
        <f t="shared" si="8"/>
        <v>0</v>
      </c>
      <c r="AC35" s="126">
        <f t="shared" si="9"/>
        <v>0</v>
      </c>
      <c r="AD35" s="129" t="s">
        <v>2</v>
      </c>
      <c r="AE35" s="1" t="s">
        <v>3</v>
      </c>
      <c r="AF35" s="2"/>
      <c r="AG35" s="3" t="s">
        <v>4</v>
      </c>
      <c r="AH35" s="3" t="str">
        <f t="shared" si="12"/>
        <v>X</v>
      </c>
      <c r="AI35" s="3" t="str">
        <f t="shared" si="12"/>
        <v>√</v>
      </c>
      <c r="AJ35" s="4"/>
      <c r="AK35" s="5"/>
      <c r="AL35" s="5"/>
      <c r="AM35" s="4"/>
      <c r="AN35" s="6">
        <v>0</v>
      </c>
      <c r="AO35" s="7">
        <v>1090427000</v>
      </c>
      <c r="AP35" s="8"/>
      <c r="AQ35" s="8"/>
      <c r="AR35" s="9"/>
      <c r="AS35" s="10"/>
      <c r="AT35" s="11"/>
      <c r="AU35" s="11"/>
      <c r="AV35" s="12"/>
      <c r="AW35" s="12"/>
      <c r="AY35" s="161">
        <v>1060263500</v>
      </c>
      <c r="AZ35" s="161">
        <v>1081303500</v>
      </c>
      <c r="BA35" s="158">
        <f>AZ35-AY35</f>
        <v>21040000</v>
      </c>
      <c r="BB35" s="193">
        <v>1081303500</v>
      </c>
      <c r="BC35" s="221">
        <f>BB35-BA35</f>
        <v>1060263500</v>
      </c>
    </row>
    <row r="36" spans="1:55" ht="15.75" x14ac:dyDescent="0.25">
      <c r="A36" s="117"/>
      <c r="B36" s="118" t="s">
        <v>81</v>
      </c>
      <c r="C36" s="119" t="s">
        <v>82</v>
      </c>
      <c r="D36" s="120" t="s">
        <v>83</v>
      </c>
      <c r="E36" s="121" t="s">
        <v>77</v>
      </c>
      <c r="F36" s="122"/>
      <c r="G36" s="122"/>
      <c r="H36" s="122"/>
      <c r="I36" s="122"/>
      <c r="J36" s="123">
        <v>12</v>
      </c>
      <c r="K36" s="124">
        <f t="shared" si="11"/>
        <v>23944.5</v>
      </c>
      <c r="L36" s="125">
        <f t="shared" si="11"/>
        <v>57500</v>
      </c>
      <c r="M36" s="126">
        <v>0</v>
      </c>
      <c r="N36" s="127">
        <v>0</v>
      </c>
      <c r="O36" s="126">
        <v>0</v>
      </c>
      <c r="P36" s="127">
        <v>0</v>
      </c>
      <c r="Q36" s="126">
        <v>0</v>
      </c>
      <c r="R36" s="127">
        <v>0</v>
      </c>
      <c r="S36" s="126">
        <v>0</v>
      </c>
      <c r="T36" s="127">
        <v>0</v>
      </c>
      <c r="U36" s="126">
        <f t="shared" si="1"/>
        <v>0</v>
      </c>
      <c r="V36" s="127">
        <f t="shared" si="2"/>
        <v>0</v>
      </c>
      <c r="W36" s="126">
        <f t="shared" si="3"/>
        <v>0</v>
      </c>
      <c r="X36" s="126">
        <f t="shared" si="4"/>
        <v>0</v>
      </c>
      <c r="Y36" s="126">
        <f t="shared" si="5"/>
        <v>0</v>
      </c>
      <c r="Z36" s="126">
        <f t="shared" si="6"/>
        <v>0</v>
      </c>
      <c r="AA36" s="128">
        <f t="shared" si="7"/>
        <v>0</v>
      </c>
      <c r="AB36" s="126">
        <f t="shared" si="8"/>
        <v>0</v>
      </c>
      <c r="AC36" s="126">
        <f t="shared" si="9"/>
        <v>0</v>
      </c>
      <c r="AD36" s="129" t="s">
        <v>2</v>
      </c>
      <c r="AE36" s="1" t="s">
        <v>3</v>
      </c>
      <c r="AF36" s="2"/>
      <c r="AG36" s="3" t="s">
        <v>4</v>
      </c>
      <c r="AH36" s="3" t="str">
        <f t="shared" si="12"/>
        <v>√</v>
      </c>
      <c r="AI36" s="3" t="str">
        <f t="shared" si="12"/>
        <v>√</v>
      </c>
      <c r="AJ36" s="4"/>
      <c r="AK36" s="5"/>
      <c r="AL36" s="5"/>
      <c r="AM36" s="4"/>
      <c r="AN36" s="6">
        <v>23944500</v>
      </c>
      <c r="AO36" s="7">
        <v>57500000</v>
      </c>
      <c r="AP36" s="8"/>
      <c r="AQ36" s="8"/>
      <c r="AR36" s="9"/>
      <c r="AS36" s="10"/>
      <c r="AT36" s="11"/>
      <c r="AU36" s="11"/>
      <c r="AV36" s="12"/>
      <c r="AW36" s="12"/>
      <c r="AY36" s="160">
        <v>0</v>
      </c>
      <c r="AZ36" s="160" t="s">
        <v>288</v>
      </c>
      <c r="BA36" s="166"/>
      <c r="BB36" s="193" t="s">
        <v>288</v>
      </c>
    </row>
    <row r="37" spans="1:55" ht="15.75" x14ac:dyDescent="0.25">
      <c r="A37" s="117"/>
      <c r="B37" s="118" t="s">
        <v>84</v>
      </c>
      <c r="C37" s="120" t="s">
        <v>85</v>
      </c>
      <c r="D37" s="120" t="s">
        <v>86</v>
      </c>
      <c r="E37" s="121" t="s">
        <v>77</v>
      </c>
      <c r="F37" s="122"/>
      <c r="G37" s="122"/>
      <c r="H37" s="122"/>
      <c r="I37" s="122"/>
      <c r="J37" s="123">
        <v>12</v>
      </c>
      <c r="K37" s="144">
        <f>56902090*0.001</f>
        <v>56902.090000000004</v>
      </c>
      <c r="L37" s="125">
        <f t="shared" si="11"/>
        <v>102409</v>
      </c>
      <c r="M37" s="126">
        <v>0</v>
      </c>
      <c r="N37" s="127">
        <v>0</v>
      </c>
      <c r="O37" s="126">
        <v>0</v>
      </c>
      <c r="P37" s="175">
        <v>101757500</v>
      </c>
      <c r="Q37" s="126">
        <v>0</v>
      </c>
      <c r="R37" s="175" t="s">
        <v>288</v>
      </c>
      <c r="S37" s="126">
        <v>0</v>
      </c>
      <c r="T37" s="127">
        <v>0</v>
      </c>
      <c r="U37" s="126">
        <f t="shared" si="1"/>
        <v>0</v>
      </c>
      <c r="V37" s="127" t="s">
        <v>288</v>
      </c>
      <c r="W37" s="126">
        <f t="shared" si="3"/>
        <v>0</v>
      </c>
      <c r="X37" s="126">
        <f t="shared" si="4"/>
        <v>0</v>
      </c>
      <c r="Y37" s="126">
        <f t="shared" si="5"/>
        <v>0</v>
      </c>
      <c r="Z37" s="126">
        <f t="shared" si="6"/>
        <v>0</v>
      </c>
      <c r="AA37" s="128" t="s">
        <v>288</v>
      </c>
      <c r="AB37" s="126">
        <f t="shared" si="8"/>
        <v>0</v>
      </c>
      <c r="AC37" s="126">
        <f t="shared" si="9"/>
        <v>0</v>
      </c>
      <c r="AD37" s="129" t="s">
        <v>2</v>
      </c>
      <c r="AE37" s="27"/>
      <c r="AF37" s="13"/>
      <c r="AG37" s="15"/>
      <c r="AH37" s="15"/>
      <c r="AI37" s="15"/>
      <c r="AJ37" s="15"/>
      <c r="AK37" s="16"/>
      <c r="AL37" s="16"/>
      <c r="AM37" s="15"/>
      <c r="AN37" s="28">
        <v>56902090</v>
      </c>
      <c r="AO37" s="29">
        <v>102409000</v>
      </c>
      <c r="AP37" s="19"/>
      <c r="AQ37" s="19"/>
      <c r="AR37" s="9"/>
      <c r="AS37" s="20"/>
      <c r="AT37" s="21"/>
      <c r="AU37" s="21"/>
      <c r="AV37" s="22"/>
      <c r="AW37" s="22"/>
      <c r="AY37" s="161">
        <v>0</v>
      </c>
      <c r="AZ37" s="161">
        <v>101757500</v>
      </c>
      <c r="BA37" s="158">
        <v>101757500</v>
      </c>
      <c r="BB37" s="193">
        <v>101757500</v>
      </c>
      <c r="BC37" s="221">
        <f>BB37-BA37</f>
        <v>0</v>
      </c>
    </row>
    <row r="38" spans="1:55" ht="22.5" x14ac:dyDescent="0.25">
      <c r="A38" s="117"/>
      <c r="B38" s="118" t="s">
        <v>87</v>
      </c>
      <c r="C38" s="119" t="s">
        <v>88</v>
      </c>
      <c r="D38" s="120" t="s">
        <v>89</v>
      </c>
      <c r="E38" s="121" t="s">
        <v>77</v>
      </c>
      <c r="F38" s="122"/>
      <c r="G38" s="122"/>
      <c r="H38" s="122"/>
      <c r="I38" s="122"/>
      <c r="J38" s="123">
        <v>12</v>
      </c>
      <c r="K38" s="144">
        <f>69177463*0.001</f>
        <v>69177.463000000003</v>
      </c>
      <c r="L38" s="125">
        <f t="shared" si="11"/>
        <v>94412.373000000007</v>
      </c>
      <c r="M38" s="126">
        <f>100%*J38</f>
        <v>12</v>
      </c>
      <c r="N38" s="127">
        <f>94412373*0.001</f>
        <v>94412.373000000007</v>
      </c>
      <c r="O38" s="126">
        <v>0</v>
      </c>
      <c r="P38" s="175">
        <v>94412373</v>
      </c>
      <c r="Q38" s="126">
        <v>0</v>
      </c>
      <c r="R38" s="175" t="s">
        <v>288</v>
      </c>
      <c r="S38" s="126">
        <v>0</v>
      </c>
      <c r="T38" s="127">
        <v>0</v>
      </c>
      <c r="U38" s="126">
        <f t="shared" si="1"/>
        <v>12</v>
      </c>
      <c r="V38" s="127" t="s">
        <v>288</v>
      </c>
      <c r="W38" s="126">
        <f t="shared" si="3"/>
        <v>100</v>
      </c>
      <c r="X38" s="126">
        <f t="shared" si="4"/>
        <v>0</v>
      </c>
      <c r="Y38" s="126">
        <f t="shared" si="5"/>
        <v>0</v>
      </c>
      <c r="Z38" s="126">
        <f t="shared" si="6"/>
        <v>12</v>
      </c>
      <c r="AA38" s="128" t="s">
        <v>288</v>
      </c>
      <c r="AB38" s="126">
        <f t="shared" si="8"/>
        <v>0</v>
      </c>
      <c r="AC38" s="126">
        <f t="shared" si="9"/>
        <v>0</v>
      </c>
      <c r="AD38" s="129" t="s">
        <v>2</v>
      </c>
      <c r="AE38" s="1"/>
      <c r="AF38" s="13"/>
      <c r="AG38" s="14"/>
      <c r="AH38" s="14"/>
      <c r="AI38" s="14"/>
      <c r="AJ38" s="15"/>
      <c r="AK38" s="16"/>
      <c r="AL38" s="16"/>
      <c r="AM38" s="15"/>
      <c r="AN38" s="28">
        <v>69177463</v>
      </c>
      <c r="AO38" s="29">
        <v>94412373</v>
      </c>
      <c r="AP38" s="19"/>
      <c r="AQ38" s="19"/>
      <c r="AR38" s="9"/>
      <c r="AS38" s="20"/>
      <c r="AT38" s="21"/>
      <c r="AU38" s="21"/>
      <c r="AV38" s="22"/>
      <c r="AW38" s="22"/>
      <c r="AY38" s="161">
        <v>94412373</v>
      </c>
      <c r="AZ38" s="161">
        <v>94412373</v>
      </c>
      <c r="BA38" s="158">
        <v>94412373</v>
      </c>
      <c r="BB38" s="193">
        <v>94412373</v>
      </c>
      <c r="BC38" s="221">
        <f>BB38-BA38</f>
        <v>0</v>
      </c>
    </row>
    <row r="39" spans="1:55" ht="33.75" x14ac:dyDescent="0.25">
      <c r="A39" s="117"/>
      <c r="B39" s="118" t="s">
        <v>90</v>
      </c>
      <c r="C39" s="119" t="s">
        <v>91</v>
      </c>
      <c r="D39" s="120" t="s">
        <v>92</v>
      </c>
      <c r="E39" s="121" t="s">
        <v>77</v>
      </c>
      <c r="F39" s="122"/>
      <c r="G39" s="122"/>
      <c r="H39" s="122"/>
      <c r="I39" s="122"/>
      <c r="J39" s="123">
        <v>12</v>
      </c>
      <c r="K39" s="124">
        <f t="shared" ref="K39:L55" si="13">AN39*0.001</f>
        <v>190148</v>
      </c>
      <c r="L39" s="125">
        <f t="shared" si="11"/>
        <v>133777</v>
      </c>
      <c r="M39" s="126">
        <v>0</v>
      </c>
      <c r="N39" s="127">
        <v>0</v>
      </c>
      <c r="O39" s="126">
        <v>0</v>
      </c>
      <c r="P39" s="175">
        <v>92226000</v>
      </c>
      <c r="Q39" s="126">
        <v>0</v>
      </c>
      <c r="R39" s="175">
        <v>40117500</v>
      </c>
      <c r="S39" s="126">
        <v>0</v>
      </c>
      <c r="T39" s="127">
        <v>0</v>
      </c>
      <c r="U39" s="126">
        <f t="shared" si="1"/>
        <v>0</v>
      </c>
      <c r="V39" s="127">
        <f t="shared" si="2"/>
        <v>132343500</v>
      </c>
      <c r="W39" s="126">
        <f t="shared" si="3"/>
        <v>0</v>
      </c>
      <c r="X39" s="126">
        <f t="shared" si="4"/>
        <v>69600.258745819039</v>
      </c>
      <c r="Y39" s="126">
        <f t="shared" si="5"/>
        <v>98928.440613857383</v>
      </c>
      <c r="Z39" s="126">
        <f t="shared" si="6"/>
        <v>0</v>
      </c>
      <c r="AA39" s="128">
        <f t="shared" si="7"/>
        <v>132343500</v>
      </c>
      <c r="AB39" s="126">
        <f t="shared" si="8"/>
        <v>0</v>
      </c>
      <c r="AC39" s="126">
        <f t="shared" si="9"/>
        <v>0</v>
      </c>
      <c r="AD39" s="129" t="s">
        <v>2</v>
      </c>
      <c r="AE39" s="1" t="s">
        <v>3</v>
      </c>
      <c r="AF39" s="2"/>
      <c r="AG39" s="3" t="s">
        <v>4</v>
      </c>
      <c r="AH39" s="3" t="str">
        <f t="shared" ref="AH39:AI50" si="14">IF(AN39&gt;=1,"√",IF(AN39&gt;=0,"X",))</f>
        <v>√</v>
      </c>
      <c r="AI39" s="3" t="str">
        <f t="shared" si="14"/>
        <v>√</v>
      </c>
      <c r="AJ39" s="4"/>
      <c r="AK39" s="5"/>
      <c r="AL39" s="5"/>
      <c r="AM39" s="4"/>
      <c r="AN39" s="6">
        <v>190148000</v>
      </c>
      <c r="AO39" s="7">
        <v>133777000</v>
      </c>
      <c r="AP39" s="8"/>
      <c r="AQ39" s="8"/>
      <c r="AR39" s="9"/>
      <c r="AS39" s="10"/>
      <c r="AT39" s="11"/>
      <c r="AU39" s="11"/>
      <c r="AV39" s="12"/>
      <c r="AW39" s="12"/>
      <c r="AY39" s="160">
        <v>0</v>
      </c>
      <c r="AZ39" s="160">
        <v>92226000</v>
      </c>
      <c r="BA39" s="158">
        <v>92226000</v>
      </c>
      <c r="BB39" s="193">
        <v>132343500</v>
      </c>
      <c r="BC39" s="221">
        <f>BB39-BA39</f>
        <v>40117500</v>
      </c>
    </row>
    <row r="40" spans="1:55" ht="67.5" x14ac:dyDescent="0.25">
      <c r="A40" s="130"/>
      <c r="B40" s="131" t="s">
        <v>93</v>
      </c>
      <c r="C40" s="133" t="s">
        <v>94</v>
      </c>
      <c r="D40" s="133" t="s">
        <v>73</v>
      </c>
      <c r="E40" s="134" t="s">
        <v>10</v>
      </c>
      <c r="F40" s="135"/>
      <c r="G40" s="135"/>
      <c r="H40" s="135"/>
      <c r="I40" s="135"/>
      <c r="J40" s="103" t="s">
        <v>14</v>
      </c>
      <c r="K40" s="136">
        <f t="shared" si="13"/>
        <v>2119236.0010000002</v>
      </c>
      <c r="L40" s="137"/>
      <c r="M40" s="126"/>
      <c r="N40" s="127"/>
      <c r="O40" s="126"/>
      <c r="P40" s="127"/>
      <c r="Q40" s="126"/>
      <c r="R40" s="127"/>
      <c r="S40" s="126"/>
      <c r="T40" s="127"/>
      <c r="U40" s="126"/>
      <c r="V40" s="127"/>
      <c r="W40" s="126"/>
      <c r="X40" s="126"/>
      <c r="Y40" s="126"/>
      <c r="Z40" s="126"/>
      <c r="AA40" s="128"/>
      <c r="AB40" s="126"/>
      <c r="AC40" s="126"/>
      <c r="AD40" s="129" t="s">
        <v>2</v>
      </c>
      <c r="AE40" s="1" t="s">
        <v>3</v>
      </c>
      <c r="AF40" s="13"/>
      <c r="AG40" s="14" t="s">
        <v>4</v>
      </c>
      <c r="AH40" s="14" t="str">
        <f t="shared" si="14"/>
        <v>√</v>
      </c>
      <c r="AI40" s="14" t="str">
        <f t="shared" si="14"/>
        <v>√</v>
      </c>
      <c r="AJ40" s="15"/>
      <c r="AK40" s="16"/>
      <c r="AL40" s="16"/>
      <c r="AM40" s="15"/>
      <c r="AN40" s="17">
        <f>SUM(AN41:AN43)</f>
        <v>2119236001</v>
      </c>
      <c r="AO40" s="18">
        <f>SUM(AO41:AO43)</f>
        <v>2209756001</v>
      </c>
      <c r="AP40" s="19"/>
      <c r="AQ40" s="19"/>
      <c r="AR40" s="9"/>
      <c r="AS40" s="20"/>
      <c r="AT40" s="21"/>
      <c r="AU40" s="21"/>
      <c r="AV40" s="22"/>
      <c r="AW40" s="22"/>
      <c r="AY40" s="161"/>
      <c r="AZ40" s="161"/>
      <c r="BA40" s="158"/>
    </row>
    <row r="41" spans="1:55" ht="22.5" x14ac:dyDescent="0.25">
      <c r="A41" s="117"/>
      <c r="B41" s="118" t="s">
        <v>95</v>
      </c>
      <c r="C41" s="120" t="s">
        <v>96</v>
      </c>
      <c r="D41" s="120" t="s">
        <v>97</v>
      </c>
      <c r="E41" s="121" t="s">
        <v>31</v>
      </c>
      <c r="F41" s="122"/>
      <c r="G41" s="122"/>
      <c r="H41" s="122"/>
      <c r="I41" s="122"/>
      <c r="J41" s="123">
        <v>12</v>
      </c>
      <c r="K41" s="124">
        <f t="shared" si="13"/>
        <v>867622.46</v>
      </c>
      <c r="L41" s="125">
        <f t="shared" si="11"/>
        <v>872022.46</v>
      </c>
      <c r="M41" s="126">
        <f>25%*J41</f>
        <v>3</v>
      </c>
      <c r="N41" s="127">
        <f>184214508*0.001</f>
        <v>184214.508</v>
      </c>
      <c r="O41" s="126">
        <v>0</v>
      </c>
      <c r="P41" s="175">
        <v>157216649</v>
      </c>
      <c r="Q41" s="126">
        <v>0</v>
      </c>
      <c r="R41" s="175">
        <v>354326499</v>
      </c>
      <c r="S41" s="126">
        <v>0</v>
      </c>
      <c r="T41" s="127">
        <v>0</v>
      </c>
      <c r="U41" s="126">
        <f t="shared" si="1"/>
        <v>3</v>
      </c>
      <c r="V41" s="127">
        <f t="shared" si="2"/>
        <v>511727362.50800002</v>
      </c>
      <c r="W41" s="126">
        <f t="shared" si="3"/>
        <v>25</v>
      </c>
      <c r="X41" s="126">
        <f t="shared" si="4"/>
        <v>58980.41903018509</v>
      </c>
      <c r="Y41" s="126">
        <f t="shared" si="5"/>
        <v>58682.819076471955</v>
      </c>
      <c r="Z41" s="126">
        <f t="shared" si="6"/>
        <v>3</v>
      </c>
      <c r="AA41" s="128">
        <f t="shared" si="7"/>
        <v>511727362.50800002</v>
      </c>
      <c r="AB41" s="126">
        <f t="shared" si="8"/>
        <v>0</v>
      </c>
      <c r="AC41" s="126">
        <f t="shared" si="9"/>
        <v>0</v>
      </c>
      <c r="AD41" s="129" t="s">
        <v>2</v>
      </c>
      <c r="AE41" s="1" t="s">
        <v>3</v>
      </c>
      <c r="AF41" s="2"/>
      <c r="AG41" s="3" t="s">
        <v>4</v>
      </c>
      <c r="AH41" s="3" t="str">
        <f t="shared" si="14"/>
        <v>√</v>
      </c>
      <c r="AI41" s="3" t="str">
        <f t="shared" si="14"/>
        <v>√</v>
      </c>
      <c r="AJ41" s="4"/>
      <c r="AK41" s="5"/>
      <c r="AL41" s="5"/>
      <c r="AM41" s="4"/>
      <c r="AN41" s="6">
        <v>867622460</v>
      </c>
      <c r="AO41" s="7">
        <v>872022460</v>
      </c>
      <c r="AP41" s="8"/>
      <c r="AQ41" s="8"/>
      <c r="AR41" s="9"/>
      <c r="AS41" s="10"/>
      <c r="AT41" s="11"/>
      <c r="AU41" s="11"/>
      <c r="AV41" s="12"/>
      <c r="AW41" s="12"/>
      <c r="AY41" s="162">
        <v>184214508</v>
      </c>
      <c r="AZ41" s="162">
        <v>341431157</v>
      </c>
      <c r="BA41" s="158">
        <f>AZ41-AY41</f>
        <v>157216649</v>
      </c>
      <c r="BB41" s="193">
        <v>511543148</v>
      </c>
      <c r="BC41" s="221">
        <f>BB41-BA41</f>
        <v>354326499</v>
      </c>
    </row>
    <row r="42" spans="1:55" ht="22.5" x14ac:dyDescent="0.25">
      <c r="A42" s="117"/>
      <c r="B42" s="118" t="s">
        <v>98</v>
      </c>
      <c r="C42" s="120" t="s">
        <v>99</v>
      </c>
      <c r="D42" s="120" t="s">
        <v>100</v>
      </c>
      <c r="E42" s="121" t="s">
        <v>31</v>
      </c>
      <c r="F42" s="122"/>
      <c r="G42" s="122"/>
      <c r="H42" s="122"/>
      <c r="I42" s="122"/>
      <c r="J42" s="123">
        <v>12</v>
      </c>
      <c r="K42" s="124">
        <f t="shared" si="13"/>
        <v>0</v>
      </c>
      <c r="L42" s="125">
        <f t="shared" si="13"/>
        <v>50000</v>
      </c>
      <c r="M42" s="126">
        <f>8.33%*J42</f>
        <v>0.99960000000000004</v>
      </c>
      <c r="N42" s="127">
        <f>1650000*0.001</f>
        <v>1650</v>
      </c>
      <c r="O42" s="126">
        <v>0</v>
      </c>
      <c r="P42" s="175">
        <v>10600000</v>
      </c>
      <c r="Q42" s="126">
        <v>0</v>
      </c>
      <c r="R42" s="175">
        <v>19600000</v>
      </c>
      <c r="S42" s="126">
        <v>0</v>
      </c>
      <c r="T42" s="127">
        <v>0</v>
      </c>
      <c r="U42" s="126">
        <f t="shared" si="1"/>
        <v>0.99960000000000004</v>
      </c>
      <c r="V42" s="127">
        <f t="shared" si="2"/>
        <v>30201650</v>
      </c>
      <c r="W42" s="126">
        <f t="shared" si="3"/>
        <v>8.33</v>
      </c>
      <c r="X42" s="126">
        <f t="shared" si="4"/>
        <v>0</v>
      </c>
      <c r="Y42" s="126">
        <f t="shared" si="5"/>
        <v>60403.3</v>
      </c>
      <c r="Z42" s="126">
        <f t="shared" si="6"/>
        <v>0.99960000000000004</v>
      </c>
      <c r="AA42" s="128">
        <f t="shared" si="7"/>
        <v>30201650</v>
      </c>
      <c r="AB42" s="126">
        <f t="shared" si="8"/>
        <v>0</v>
      </c>
      <c r="AC42" s="126">
        <f t="shared" si="9"/>
        <v>0</v>
      </c>
      <c r="AD42" s="129" t="s">
        <v>2</v>
      </c>
      <c r="AE42" s="1" t="s">
        <v>3</v>
      </c>
      <c r="AF42" s="2"/>
      <c r="AG42" s="3" t="s">
        <v>4</v>
      </c>
      <c r="AH42" s="3" t="str">
        <f t="shared" si="14"/>
        <v>X</v>
      </c>
      <c r="AI42" s="3" t="str">
        <f t="shared" si="14"/>
        <v>√</v>
      </c>
      <c r="AJ42" s="4"/>
      <c r="AK42" s="5"/>
      <c r="AL42" s="5"/>
      <c r="AM42" s="4"/>
      <c r="AN42" s="6">
        <v>0</v>
      </c>
      <c r="AO42" s="7">
        <v>50000000</v>
      </c>
      <c r="AP42" s="8"/>
      <c r="AQ42" s="8"/>
      <c r="AR42" s="9"/>
      <c r="AS42" s="10"/>
      <c r="AT42" s="11"/>
      <c r="AU42" s="11"/>
      <c r="AV42" s="12"/>
      <c r="AW42" s="12"/>
      <c r="AY42" s="161">
        <v>1650000</v>
      </c>
      <c r="AZ42" s="161">
        <v>12250000</v>
      </c>
      <c r="BA42" s="158">
        <f>AZ42-AY42</f>
        <v>10600000</v>
      </c>
      <c r="BB42" s="193">
        <v>30200000</v>
      </c>
      <c r="BC42" s="221">
        <f>BB42-BA42</f>
        <v>19600000</v>
      </c>
    </row>
    <row r="43" spans="1:55" ht="22.5" x14ac:dyDescent="0.25">
      <c r="A43" s="117"/>
      <c r="B43" s="118" t="s">
        <v>101</v>
      </c>
      <c r="C43" s="120" t="s">
        <v>102</v>
      </c>
      <c r="D43" s="120" t="s">
        <v>103</v>
      </c>
      <c r="E43" s="121" t="s">
        <v>31</v>
      </c>
      <c r="F43" s="122"/>
      <c r="G43" s="122"/>
      <c r="H43" s="122"/>
      <c r="I43" s="122"/>
      <c r="J43" s="123">
        <v>12</v>
      </c>
      <c r="K43" s="124">
        <f t="shared" si="13"/>
        <v>1251613.541</v>
      </c>
      <c r="L43" s="125">
        <f t="shared" si="13"/>
        <v>1287733.541</v>
      </c>
      <c r="M43" s="126">
        <f>25%*J43</f>
        <v>3</v>
      </c>
      <c r="N43" s="127">
        <f>297569600*0.001</f>
        <v>297569.60000000003</v>
      </c>
      <c r="O43" s="126">
        <v>0</v>
      </c>
      <c r="P43" s="175">
        <v>220619400</v>
      </c>
      <c r="Q43" s="126">
        <v>0</v>
      </c>
      <c r="R43" s="175">
        <v>610889000</v>
      </c>
      <c r="S43" s="126">
        <v>0</v>
      </c>
      <c r="T43" s="127">
        <v>0</v>
      </c>
      <c r="U43" s="126">
        <f t="shared" si="1"/>
        <v>3</v>
      </c>
      <c r="V43" s="127">
        <f t="shared" si="2"/>
        <v>831805969.60000002</v>
      </c>
      <c r="W43" s="126">
        <f t="shared" si="3"/>
        <v>25</v>
      </c>
      <c r="X43" s="126">
        <f t="shared" si="4"/>
        <v>66458.690510444067</v>
      </c>
      <c r="Y43" s="126">
        <f t="shared" si="5"/>
        <v>64594.572022567205</v>
      </c>
      <c r="Z43" s="126">
        <f t="shared" si="6"/>
        <v>3</v>
      </c>
      <c r="AA43" s="128">
        <f t="shared" si="7"/>
        <v>831805969.60000002</v>
      </c>
      <c r="AB43" s="126">
        <f t="shared" si="8"/>
        <v>0</v>
      </c>
      <c r="AC43" s="126">
        <f t="shared" si="9"/>
        <v>0</v>
      </c>
      <c r="AD43" s="129" t="s">
        <v>2</v>
      </c>
      <c r="AE43" s="1" t="s">
        <v>3</v>
      </c>
      <c r="AF43" s="2"/>
      <c r="AG43" s="3" t="s">
        <v>4</v>
      </c>
      <c r="AH43" s="3" t="str">
        <f t="shared" si="14"/>
        <v>√</v>
      </c>
      <c r="AI43" s="3" t="str">
        <f t="shared" si="14"/>
        <v>√</v>
      </c>
      <c r="AJ43" s="4"/>
      <c r="AK43" s="5"/>
      <c r="AL43" s="5"/>
      <c r="AM43" s="4"/>
      <c r="AN43" s="6">
        <v>1251613541</v>
      </c>
      <c r="AO43" s="7">
        <v>1287733541</v>
      </c>
      <c r="AP43" s="8"/>
      <c r="AQ43" s="8"/>
      <c r="AR43" s="9"/>
      <c r="AS43" s="10"/>
      <c r="AT43" s="11"/>
      <c r="AU43" s="11"/>
      <c r="AV43" s="12"/>
      <c r="AW43" s="12"/>
      <c r="AY43" s="160">
        <v>297569600</v>
      </c>
      <c r="AZ43" s="160">
        <v>518189000</v>
      </c>
      <c r="BA43" s="158">
        <f>AZ43-AY43</f>
        <v>220619400</v>
      </c>
      <c r="BB43" s="193">
        <v>831508400</v>
      </c>
      <c r="BC43" s="221">
        <f>BB43-BA43</f>
        <v>610889000</v>
      </c>
    </row>
    <row r="44" spans="1:55" ht="67.5" x14ac:dyDescent="0.25">
      <c r="A44" s="130"/>
      <c r="B44" s="131" t="s">
        <v>104</v>
      </c>
      <c r="C44" s="133" t="s">
        <v>105</v>
      </c>
      <c r="D44" s="133" t="s">
        <v>73</v>
      </c>
      <c r="E44" s="134" t="s">
        <v>10</v>
      </c>
      <c r="F44" s="135"/>
      <c r="G44" s="135"/>
      <c r="H44" s="135"/>
      <c r="I44" s="135"/>
      <c r="J44" s="103" t="s">
        <v>14</v>
      </c>
      <c r="K44" s="136">
        <f t="shared" si="13"/>
        <v>1161154.8</v>
      </c>
      <c r="L44" s="137"/>
      <c r="M44" s="126"/>
      <c r="N44" s="127"/>
      <c r="O44" s="126"/>
      <c r="P44" s="127"/>
      <c r="Q44" s="126"/>
      <c r="R44" s="127"/>
      <c r="S44" s="126"/>
      <c r="T44" s="127"/>
      <c r="U44" s="126"/>
      <c r="V44" s="127"/>
      <c r="W44" s="126"/>
      <c r="X44" s="126"/>
      <c r="Y44" s="126"/>
      <c r="Z44" s="126"/>
      <c r="AA44" s="128"/>
      <c r="AB44" s="126"/>
      <c r="AC44" s="126"/>
      <c r="AD44" s="129" t="s">
        <v>2</v>
      </c>
      <c r="AE44" s="1" t="s">
        <v>3</v>
      </c>
      <c r="AF44" s="13"/>
      <c r="AG44" s="14" t="s">
        <v>4</v>
      </c>
      <c r="AH44" s="14" t="str">
        <f t="shared" si="14"/>
        <v>√</v>
      </c>
      <c r="AI44" s="14" t="str">
        <f t="shared" si="14"/>
        <v>√</v>
      </c>
      <c r="AJ44" s="15"/>
      <c r="AK44" s="16"/>
      <c r="AL44" s="16"/>
      <c r="AM44" s="15"/>
      <c r="AN44" s="17">
        <f>SUM(AN45:AN49)</f>
        <v>1161154800</v>
      </c>
      <c r="AO44" s="18">
        <f>SUM(AO45:AO49)</f>
        <v>1059799950</v>
      </c>
      <c r="AP44" s="19"/>
      <c r="AQ44" s="19"/>
      <c r="AR44" s="9"/>
      <c r="AS44" s="20"/>
      <c r="AT44" s="21"/>
      <c r="AU44" s="21"/>
      <c r="AV44" s="22"/>
      <c r="AW44" s="22"/>
      <c r="AY44" s="161"/>
      <c r="AZ44" s="161"/>
      <c r="BA44" s="158"/>
    </row>
    <row r="45" spans="1:55" ht="45" x14ac:dyDescent="0.25">
      <c r="A45" s="117"/>
      <c r="B45" s="118" t="s">
        <v>106</v>
      </c>
      <c r="C45" s="120" t="s">
        <v>107</v>
      </c>
      <c r="D45" s="120" t="s">
        <v>108</v>
      </c>
      <c r="E45" s="121" t="s">
        <v>77</v>
      </c>
      <c r="F45" s="122"/>
      <c r="G45" s="122"/>
      <c r="H45" s="122"/>
      <c r="I45" s="122"/>
      <c r="J45" s="123">
        <v>12</v>
      </c>
      <c r="K45" s="124">
        <f t="shared" si="13"/>
        <v>340780</v>
      </c>
      <c r="L45" s="125">
        <f t="shared" si="13"/>
        <v>294370</v>
      </c>
      <c r="M45" s="126">
        <f>8.33%*J45</f>
        <v>0.99960000000000004</v>
      </c>
      <c r="N45" s="127">
        <f>14454500*0.001</f>
        <v>14454.5</v>
      </c>
      <c r="O45" s="126">
        <v>0</v>
      </c>
      <c r="P45" s="175">
        <v>35112500</v>
      </c>
      <c r="Q45" s="126">
        <v>0</v>
      </c>
      <c r="R45" s="175">
        <v>111362870</v>
      </c>
      <c r="S45" s="126">
        <v>0</v>
      </c>
      <c r="T45" s="127">
        <v>0</v>
      </c>
      <c r="U45" s="126">
        <f t="shared" si="1"/>
        <v>0.99960000000000004</v>
      </c>
      <c r="V45" s="127">
        <f t="shared" si="2"/>
        <v>146489824.5</v>
      </c>
      <c r="W45" s="126">
        <f t="shared" si="3"/>
        <v>8.33</v>
      </c>
      <c r="X45" s="126">
        <f t="shared" si="4"/>
        <v>42986.626122425027</v>
      </c>
      <c r="Y45" s="126">
        <f t="shared" si="5"/>
        <v>49763.842952746549</v>
      </c>
      <c r="Z45" s="126">
        <f t="shared" si="6"/>
        <v>0.99960000000000004</v>
      </c>
      <c r="AA45" s="128">
        <f t="shared" si="7"/>
        <v>146489824.5</v>
      </c>
      <c r="AB45" s="126">
        <f t="shared" si="8"/>
        <v>0</v>
      </c>
      <c r="AC45" s="126">
        <f t="shared" si="9"/>
        <v>0</v>
      </c>
      <c r="AD45" s="129" t="s">
        <v>2</v>
      </c>
      <c r="AE45" s="1" t="s">
        <v>3</v>
      </c>
      <c r="AF45" s="2"/>
      <c r="AG45" s="3" t="s">
        <v>4</v>
      </c>
      <c r="AH45" s="3" t="str">
        <f t="shared" si="14"/>
        <v>√</v>
      </c>
      <c r="AI45" s="3" t="str">
        <f t="shared" si="14"/>
        <v>√</v>
      </c>
      <c r="AJ45" s="4"/>
      <c r="AK45" s="5"/>
      <c r="AL45" s="5"/>
      <c r="AM45" s="4"/>
      <c r="AN45" s="6">
        <v>340780000</v>
      </c>
      <c r="AO45" s="7">
        <v>294370000</v>
      </c>
      <c r="AP45" s="8"/>
      <c r="AQ45" s="8"/>
      <c r="AR45" s="9"/>
      <c r="AS45" s="10"/>
      <c r="AT45" s="11"/>
      <c r="AU45" s="11"/>
      <c r="AV45" s="12"/>
      <c r="AW45" s="12"/>
      <c r="AY45" s="162">
        <v>14454500</v>
      </c>
      <c r="AZ45" s="162">
        <v>49567000</v>
      </c>
      <c r="BA45" s="158">
        <f>AZ45-AY45</f>
        <v>35112500</v>
      </c>
      <c r="BB45" s="193">
        <v>146475370</v>
      </c>
      <c r="BC45" s="221">
        <f>BB45-BA45</f>
        <v>111362870</v>
      </c>
    </row>
    <row r="46" spans="1:55" ht="45" x14ac:dyDescent="0.25">
      <c r="A46" s="117"/>
      <c r="B46" s="118" t="s">
        <v>109</v>
      </c>
      <c r="C46" s="120" t="s">
        <v>110</v>
      </c>
      <c r="D46" s="120" t="s">
        <v>111</v>
      </c>
      <c r="E46" s="121" t="s">
        <v>77</v>
      </c>
      <c r="F46" s="122"/>
      <c r="G46" s="122"/>
      <c r="H46" s="122"/>
      <c r="I46" s="122"/>
      <c r="J46" s="123">
        <v>24</v>
      </c>
      <c r="K46" s="124">
        <f t="shared" si="13"/>
        <v>353760</v>
      </c>
      <c r="L46" s="125">
        <f t="shared" si="13"/>
        <v>345200</v>
      </c>
      <c r="M46" s="126">
        <f>8.33%*J46</f>
        <v>1.9992000000000001</v>
      </c>
      <c r="N46" s="127">
        <f>24676500*0.001</f>
        <v>24676.5</v>
      </c>
      <c r="O46" s="126">
        <v>0</v>
      </c>
      <c r="P46" s="175">
        <v>77614000</v>
      </c>
      <c r="Q46" s="126">
        <v>0</v>
      </c>
      <c r="R46" s="175">
        <v>97870500</v>
      </c>
      <c r="S46" s="126">
        <v>0</v>
      </c>
      <c r="T46" s="127">
        <v>0</v>
      </c>
      <c r="U46" s="126">
        <f t="shared" si="1"/>
        <v>1.9992000000000001</v>
      </c>
      <c r="V46" s="127">
        <f t="shared" si="2"/>
        <v>175509176.5</v>
      </c>
      <c r="W46" s="126">
        <f t="shared" si="3"/>
        <v>8.33</v>
      </c>
      <c r="X46" s="126">
        <f t="shared" si="4"/>
        <v>49612.499010628679</v>
      </c>
      <c r="Y46" s="126">
        <f t="shared" si="5"/>
        <v>50842.751013904985</v>
      </c>
      <c r="Z46" s="126">
        <f t="shared" si="6"/>
        <v>1.9992000000000001</v>
      </c>
      <c r="AA46" s="128">
        <f t="shared" si="7"/>
        <v>175509176.5</v>
      </c>
      <c r="AB46" s="126">
        <f t="shared" si="8"/>
        <v>0</v>
      </c>
      <c r="AC46" s="126">
        <f t="shared" si="9"/>
        <v>0</v>
      </c>
      <c r="AD46" s="129" t="s">
        <v>2</v>
      </c>
      <c r="AE46" s="1" t="s">
        <v>3</v>
      </c>
      <c r="AF46" s="2"/>
      <c r="AG46" s="3" t="s">
        <v>4</v>
      </c>
      <c r="AH46" s="3" t="str">
        <f t="shared" si="14"/>
        <v>√</v>
      </c>
      <c r="AI46" s="3" t="str">
        <f t="shared" si="14"/>
        <v>√</v>
      </c>
      <c r="AJ46" s="4"/>
      <c r="AK46" s="5"/>
      <c r="AL46" s="5"/>
      <c r="AM46" s="4"/>
      <c r="AN46" s="6">
        <v>353760000</v>
      </c>
      <c r="AO46" s="7">
        <v>345200000</v>
      </c>
      <c r="AP46" s="8"/>
      <c r="AQ46" s="8"/>
      <c r="AR46" s="9"/>
      <c r="AS46" s="10"/>
      <c r="AT46" s="11"/>
      <c r="AU46" s="11"/>
      <c r="AV46" s="31"/>
      <c r="AW46" s="12"/>
      <c r="AY46" s="160">
        <v>24676500</v>
      </c>
      <c r="AZ46" s="160">
        <v>102290500</v>
      </c>
      <c r="BA46" s="158">
        <f>AZ46-AY46</f>
        <v>77614000</v>
      </c>
      <c r="BB46" s="193">
        <v>175484500</v>
      </c>
      <c r="BC46" s="221">
        <f>BB46-BA46</f>
        <v>97870500</v>
      </c>
    </row>
    <row r="47" spans="1:55" ht="22.5" x14ac:dyDescent="0.25">
      <c r="A47" s="117"/>
      <c r="B47" s="118" t="s">
        <v>112</v>
      </c>
      <c r="C47" s="120" t="s">
        <v>113</v>
      </c>
      <c r="D47" s="120" t="s">
        <v>114</v>
      </c>
      <c r="E47" s="121" t="s">
        <v>77</v>
      </c>
      <c r="F47" s="122"/>
      <c r="G47" s="122"/>
      <c r="H47" s="122"/>
      <c r="I47" s="122"/>
      <c r="J47" s="123">
        <v>1</v>
      </c>
      <c r="K47" s="124">
        <f t="shared" si="13"/>
        <v>0</v>
      </c>
      <c r="L47" s="125">
        <f t="shared" si="13"/>
        <v>0</v>
      </c>
      <c r="M47" s="126">
        <v>0</v>
      </c>
      <c r="N47" s="127">
        <v>0</v>
      </c>
      <c r="O47" s="126">
        <v>0</v>
      </c>
      <c r="P47" s="127">
        <v>0</v>
      </c>
      <c r="Q47" s="126">
        <v>0</v>
      </c>
      <c r="R47" s="127">
        <v>0</v>
      </c>
      <c r="S47" s="126">
        <v>0</v>
      </c>
      <c r="T47" s="127">
        <v>0</v>
      </c>
      <c r="U47" s="126">
        <f t="shared" si="1"/>
        <v>0</v>
      </c>
      <c r="V47" s="127">
        <f t="shared" si="2"/>
        <v>0</v>
      </c>
      <c r="W47" s="126">
        <f t="shared" si="3"/>
        <v>0</v>
      </c>
      <c r="X47" s="126">
        <f t="shared" si="4"/>
        <v>0</v>
      </c>
      <c r="Y47" s="126">
        <f t="shared" si="5"/>
        <v>0</v>
      </c>
      <c r="Z47" s="126">
        <f t="shared" si="6"/>
        <v>0</v>
      </c>
      <c r="AA47" s="128">
        <f t="shared" si="7"/>
        <v>0</v>
      </c>
      <c r="AB47" s="126">
        <f t="shared" si="8"/>
        <v>0</v>
      </c>
      <c r="AC47" s="126">
        <f t="shared" si="9"/>
        <v>0</v>
      </c>
      <c r="AD47" s="129" t="s">
        <v>2</v>
      </c>
      <c r="AE47" s="1" t="s">
        <v>3</v>
      </c>
      <c r="AF47" s="2"/>
      <c r="AG47" s="3" t="s">
        <v>4</v>
      </c>
      <c r="AH47" s="3" t="str">
        <f t="shared" si="14"/>
        <v>X</v>
      </c>
      <c r="AI47" s="3" t="str">
        <f t="shared" si="14"/>
        <v>X</v>
      </c>
      <c r="AJ47" s="4"/>
      <c r="AK47" s="5"/>
      <c r="AL47" s="5"/>
      <c r="AM47" s="4"/>
      <c r="AN47" s="6">
        <v>0</v>
      </c>
      <c r="AO47" s="7">
        <v>0</v>
      </c>
      <c r="AP47" s="8"/>
      <c r="AQ47" s="8"/>
      <c r="AR47" s="9"/>
      <c r="AS47" s="10"/>
      <c r="AT47" s="11"/>
      <c r="AU47" s="11"/>
      <c r="AV47" s="31"/>
      <c r="AW47" s="12"/>
      <c r="AY47" s="167">
        <v>0</v>
      </c>
      <c r="AZ47" s="168" t="s">
        <v>288</v>
      </c>
      <c r="BA47" s="169" t="s">
        <v>288</v>
      </c>
      <c r="BB47" s="193" t="s">
        <v>288</v>
      </c>
    </row>
    <row r="48" spans="1:55" ht="22.5" x14ac:dyDescent="0.25">
      <c r="A48" s="117"/>
      <c r="B48" s="118" t="s">
        <v>115</v>
      </c>
      <c r="C48" s="120" t="s">
        <v>116</v>
      </c>
      <c r="D48" s="120" t="s">
        <v>117</v>
      </c>
      <c r="E48" s="121" t="s">
        <v>77</v>
      </c>
      <c r="F48" s="122"/>
      <c r="G48" s="122"/>
      <c r="H48" s="122"/>
      <c r="I48" s="122"/>
      <c r="J48" s="123">
        <v>1</v>
      </c>
      <c r="K48" s="124">
        <f t="shared" si="13"/>
        <v>395900</v>
      </c>
      <c r="L48" s="125">
        <f t="shared" si="13"/>
        <v>310500</v>
      </c>
      <c r="M48" s="126">
        <v>0</v>
      </c>
      <c r="N48" s="127">
        <v>0</v>
      </c>
      <c r="O48" s="126">
        <v>0</v>
      </c>
      <c r="P48" s="127">
        <v>0</v>
      </c>
      <c r="Q48" s="126">
        <v>0</v>
      </c>
      <c r="R48" s="127">
        <v>298955100</v>
      </c>
      <c r="S48" s="126">
        <v>0</v>
      </c>
      <c r="T48" s="127">
        <v>0</v>
      </c>
      <c r="U48" s="126">
        <f t="shared" si="1"/>
        <v>0</v>
      </c>
      <c r="V48" s="127">
        <f t="shared" si="2"/>
        <v>298955100</v>
      </c>
      <c r="W48" s="126">
        <f t="shared" si="3"/>
        <v>0</v>
      </c>
      <c r="X48" s="126">
        <f t="shared" si="4"/>
        <v>75512.78100530438</v>
      </c>
      <c r="Y48" s="126">
        <f t="shared" si="5"/>
        <v>96281.835748792277</v>
      </c>
      <c r="Z48" s="126">
        <f t="shared" si="6"/>
        <v>0</v>
      </c>
      <c r="AA48" s="128">
        <f t="shared" si="7"/>
        <v>298955100</v>
      </c>
      <c r="AB48" s="126">
        <f t="shared" si="8"/>
        <v>0</v>
      </c>
      <c r="AC48" s="126">
        <f t="shared" si="9"/>
        <v>0</v>
      </c>
      <c r="AD48" s="129" t="s">
        <v>2</v>
      </c>
      <c r="AE48" s="1" t="s">
        <v>3</v>
      </c>
      <c r="AF48" s="2"/>
      <c r="AG48" s="3" t="s">
        <v>4</v>
      </c>
      <c r="AH48" s="3" t="str">
        <f t="shared" si="14"/>
        <v>√</v>
      </c>
      <c r="AI48" s="3" t="str">
        <f t="shared" si="14"/>
        <v>√</v>
      </c>
      <c r="AJ48" s="4"/>
      <c r="AK48" s="5"/>
      <c r="AL48" s="5"/>
      <c r="AM48" s="4"/>
      <c r="AN48" s="6">
        <v>395900000</v>
      </c>
      <c r="AO48" s="7">
        <v>310500000</v>
      </c>
      <c r="AP48" s="8"/>
      <c r="AQ48" s="8"/>
      <c r="AR48" s="9"/>
      <c r="AS48" s="10"/>
      <c r="AT48" s="11"/>
      <c r="AU48" s="11"/>
      <c r="AV48" s="31"/>
      <c r="AW48" s="12"/>
      <c r="AY48" s="160"/>
      <c r="AZ48" s="160" t="s">
        <v>288</v>
      </c>
      <c r="BA48" s="158"/>
      <c r="BB48" s="193">
        <v>298955100</v>
      </c>
      <c r="BC48" s="221">
        <f>BB48-BA48</f>
        <v>298955100</v>
      </c>
    </row>
    <row r="49" spans="1:55" ht="33.75" x14ac:dyDescent="0.25">
      <c r="A49" s="117"/>
      <c r="B49" s="118" t="s">
        <v>118</v>
      </c>
      <c r="C49" s="120" t="s">
        <v>119</v>
      </c>
      <c r="D49" s="120" t="s">
        <v>120</v>
      </c>
      <c r="E49" s="121" t="s">
        <v>77</v>
      </c>
      <c r="F49" s="122"/>
      <c r="G49" s="122"/>
      <c r="H49" s="122"/>
      <c r="I49" s="122"/>
      <c r="J49" s="123">
        <v>2</v>
      </c>
      <c r="K49" s="124">
        <f t="shared" si="13"/>
        <v>70714.8</v>
      </c>
      <c r="L49" s="125">
        <f t="shared" si="13"/>
        <v>109729.95</v>
      </c>
      <c r="M49" s="126">
        <f>6.5%*J49</f>
        <v>0.13</v>
      </c>
      <c r="N49" s="127">
        <f>5659050*0.001</f>
        <v>5659.05</v>
      </c>
      <c r="O49" s="126">
        <v>0</v>
      </c>
      <c r="P49" s="175">
        <v>8221700</v>
      </c>
      <c r="Q49" s="126">
        <v>0</v>
      </c>
      <c r="R49" s="175">
        <v>39734500</v>
      </c>
      <c r="S49" s="126">
        <v>0</v>
      </c>
      <c r="T49" s="127">
        <v>0</v>
      </c>
      <c r="U49" s="126">
        <f t="shared" si="1"/>
        <v>0.13</v>
      </c>
      <c r="V49" s="127">
        <f t="shared" si="2"/>
        <v>47961859.049999997</v>
      </c>
      <c r="W49" s="126">
        <f t="shared" si="3"/>
        <v>6.5</v>
      </c>
      <c r="X49" s="126">
        <f t="shared" si="4"/>
        <v>67824.357913760614</v>
      </c>
      <c r="Y49" s="126">
        <f t="shared" si="5"/>
        <v>43708.995629725519</v>
      </c>
      <c r="Z49" s="126">
        <f t="shared" si="6"/>
        <v>0.13</v>
      </c>
      <c r="AA49" s="128">
        <f t="shared" si="7"/>
        <v>47961859.049999997</v>
      </c>
      <c r="AB49" s="126">
        <f t="shared" si="8"/>
        <v>0</v>
      </c>
      <c r="AC49" s="126">
        <f t="shared" si="9"/>
        <v>0</v>
      </c>
      <c r="AD49" s="129" t="s">
        <v>2</v>
      </c>
      <c r="AE49" s="1" t="s">
        <v>3</v>
      </c>
      <c r="AF49" s="2"/>
      <c r="AG49" s="3" t="s">
        <v>4</v>
      </c>
      <c r="AH49" s="3" t="str">
        <f t="shared" si="14"/>
        <v>√</v>
      </c>
      <c r="AI49" s="3" t="str">
        <f t="shared" si="14"/>
        <v>√</v>
      </c>
      <c r="AJ49" s="4"/>
      <c r="AK49" s="5"/>
      <c r="AL49" s="5"/>
      <c r="AM49" s="4"/>
      <c r="AN49" s="6">
        <v>70714800</v>
      </c>
      <c r="AO49" s="7">
        <v>109729950</v>
      </c>
      <c r="AP49" s="8"/>
      <c r="AQ49" s="8"/>
      <c r="AR49" s="9"/>
      <c r="AS49" s="10"/>
      <c r="AT49" s="11"/>
      <c r="AU49" s="11"/>
      <c r="AV49" s="31"/>
      <c r="AW49" s="32" t="e">
        <f>V49+V48+V47+V46+V45+V44+V43+V42+V41+V40+V39+V36+V35+V34+V33+V32+V31+V30+V29+V28+V27+V26+V25+V22+V21+V19+V18+V17+V16+V14+V13+V12+V11+#REF!+#REF!+#REF!+#REF!+#REF!+#REF!+#REF!+#REF!+#REF!+#REF!+#REF!+#REF!+#REF!+#REF!+#REF!+#REF!+#REF!+#REF!+#REF!+#REF!+#REF!+#REF!+#REF!+#REF!+#REF!+#REF!+#REF!+#REF!+#REF!+#REF!+#REF!+#REF!+#REF!+#REF!+#REF!+#REF!+#REF!+#REF!+#REF!+#REF!+#REF!+#REF!+#REF!+#REF!+#REF!+#REF!+#REF!+#REF!+#REF!+#REF!+#REF!+#REF!+#REF!+#REF!+#REF!+#REF!+#REF!+#REF!+#REF!+#REF!+#REF!+#REF!+#REF!+#REF!+#REF!</f>
        <v>#REF!</v>
      </c>
      <c r="AY49" s="160">
        <v>5659050</v>
      </c>
      <c r="AZ49" s="161">
        <v>13880750</v>
      </c>
      <c r="BA49" s="158">
        <f>AZ49-AY49</f>
        <v>8221700</v>
      </c>
      <c r="BB49" s="193">
        <v>47956200</v>
      </c>
      <c r="BC49" s="221">
        <f>BB49-BA49</f>
        <v>39734500</v>
      </c>
    </row>
    <row r="50" spans="1:55" ht="61.5" customHeight="1" x14ac:dyDescent="0.25">
      <c r="A50" s="130"/>
      <c r="B50" s="131" t="s">
        <v>121</v>
      </c>
      <c r="C50" s="133" t="s">
        <v>122</v>
      </c>
      <c r="D50" s="133" t="s">
        <v>41</v>
      </c>
      <c r="E50" s="134" t="s">
        <v>10</v>
      </c>
      <c r="F50" s="135"/>
      <c r="G50" s="135"/>
      <c r="H50" s="135"/>
      <c r="I50" s="135"/>
      <c r="J50" s="103" t="s">
        <v>14</v>
      </c>
      <c r="K50" s="136">
        <f t="shared" si="13"/>
        <v>774875.64100000006</v>
      </c>
      <c r="L50" s="137"/>
      <c r="M50" s="126"/>
      <c r="N50" s="127"/>
      <c r="O50" s="126"/>
      <c r="P50" s="127"/>
      <c r="Q50" s="126"/>
      <c r="R50" s="127"/>
      <c r="S50" s="126"/>
      <c r="T50" s="127"/>
      <c r="U50" s="126"/>
      <c r="V50" s="127"/>
      <c r="W50" s="126"/>
      <c r="X50" s="126"/>
      <c r="Y50" s="126"/>
      <c r="Z50" s="126"/>
      <c r="AA50" s="128"/>
      <c r="AB50" s="126"/>
      <c r="AC50" s="126"/>
      <c r="AD50" s="129" t="s">
        <v>2</v>
      </c>
      <c r="AE50" s="1"/>
      <c r="AF50" s="13"/>
      <c r="AG50" s="14" t="s">
        <v>4</v>
      </c>
      <c r="AH50" s="14" t="str">
        <f t="shared" si="14"/>
        <v>√</v>
      </c>
      <c r="AI50" s="14" t="str">
        <f t="shared" si="14"/>
        <v>√</v>
      </c>
      <c r="AJ50" s="15"/>
      <c r="AK50" s="16"/>
      <c r="AL50" s="16"/>
      <c r="AM50" s="15"/>
      <c r="AN50" s="17">
        <f>SUM(AN51:AN53)</f>
        <v>774875641</v>
      </c>
      <c r="AO50" s="23">
        <f>SUM(AO51:AO53)</f>
        <v>894875641</v>
      </c>
      <c r="AP50" s="19"/>
      <c r="AQ50" s="19"/>
      <c r="AR50" s="9"/>
      <c r="AS50" s="20"/>
      <c r="AT50" s="21"/>
      <c r="AU50" s="21"/>
      <c r="AV50" s="33"/>
      <c r="AW50" s="22"/>
      <c r="AY50" s="163"/>
      <c r="AZ50" s="170"/>
      <c r="BA50" s="158"/>
    </row>
    <row r="51" spans="1:55" ht="30.75" customHeight="1" x14ac:dyDescent="0.25">
      <c r="A51" s="117"/>
      <c r="B51" s="118" t="s">
        <v>123</v>
      </c>
      <c r="C51" s="119" t="s">
        <v>124</v>
      </c>
      <c r="D51" s="122" t="s">
        <v>125</v>
      </c>
      <c r="E51" s="121"/>
      <c r="F51" s="122"/>
      <c r="G51" s="122"/>
      <c r="H51" s="122"/>
      <c r="I51" s="122"/>
      <c r="J51" s="123">
        <v>2</v>
      </c>
      <c r="K51" s="144">
        <f>174875641*0.001</f>
        <v>174875.641</v>
      </c>
      <c r="L51" s="125">
        <f t="shared" si="13"/>
        <v>174875.641</v>
      </c>
      <c r="M51" s="126">
        <f>34.5%*J51</f>
        <v>0.69</v>
      </c>
      <c r="N51" s="127">
        <f>60473697*0.001</f>
        <v>60473.697</v>
      </c>
      <c r="O51" s="126">
        <v>0</v>
      </c>
      <c r="P51" s="175">
        <v>36089746</v>
      </c>
      <c r="Q51" s="126">
        <v>0</v>
      </c>
      <c r="R51" s="175">
        <v>97067163</v>
      </c>
      <c r="S51" s="126">
        <v>0</v>
      </c>
      <c r="T51" s="127">
        <v>0</v>
      </c>
      <c r="U51" s="126">
        <f t="shared" si="1"/>
        <v>0.69</v>
      </c>
      <c r="V51" s="127">
        <f t="shared" si="2"/>
        <v>133217382.697</v>
      </c>
      <c r="W51" s="126">
        <f t="shared" si="3"/>
        <v>34.5</v>
      </c>
      <c r="X51" s="126">
        <f t="shared" si="4"/>
        <v>76178.352762692652</v>
      </c>
      <c r="Y51" s="126">
        <f t="shared" si="5"/>
        <v>76178.352762692652</v>
      </c>
      <c r="Z51" s="126">
        <f t="shared" si="6"/>
        <v>0.69</v>
      </c>
      <c r="AA51" s="128">
        <f t="shared" si="7"/>
        <v>133217382.697</v>
      </c>
      <c r="AB51" s="126">
        <f t="shared" si="8"/>
        <v>0</v>
      </c>
      <c r="AC51" s="126">
        <f t="shared" si="9"/>
        <v>0</v>
      </c>
      <c r="AD51" s="129" t="s">
        <v>2</v>
      </c>
      <c r="AE51" s="27"/>
      <c r="AF51" s="13"/>
      <c r="AG51" s="15"/>
      <c r="AH51" s="15"/>
      <c r="AI51" s="15"/>
      <c r="AJ51" s="15"/>
      <c r="AK51" s="16"/>
      <c r="AL51" s="16"/>
      <c r="AM51" s="15"/>
      <c r="AN51" s="28">
        <v>174875641</v>
      </c>
      <c r="AO51" s="26">
        <v>174875641</v>
      </c>
      <c r="AP51" s="19"/>
      <c r="AQ51" s="19"/>
      <c r="AR51" s="9"/>
      <c r="AS51" s="34"/>
      <c r="AT51" s="35"/>
      <c r="AU51" s="35"/>
      <c r="AV51" s="9"/>
      <c r="AY51" s="163">
        <v>60473697</v>
      </c>
      <c r="AZ51" s="160">
        <v>96563443</v>
      </c>
      <c r="BA51" s="158">
        <f>AZ51-AY51</f>
        <v>36089746</v>
      </c>
      <c r="BB51" s="193">
        <v>133156909</v>
      </c>
      <c r="BC51" s="221">
        <f>BB51-BA51</f>
        <v>97067163</v>
      </c>
    </row>
    <row r="52" spans="1:55" ht="22.5" x14ac:dyDescent="0.25">
      <c r="A52" s="117"/>
      <c r="B52" s="118" t="s">
        <v>126</v>
      </c>
      <c r="C52" s="119" t="s">
        <v>127</v>
      </c>
      <c r="D52" s="120" t="s">
        <v>128</v>
      </c>
      <c r="E52" s="121" t="s">
        <v>49</v>
      </c>
      <c r="F52" s="122"/>
      <c r="G52" s="122"/>
      <c r="H52" s="122"/>
      <c r="I52" s="122"/>
      <c r="J52" s="123">
        <v>2</v>
      </c>
      <c r="K52" s="144"/>
      <c r="L52" s="125">
        <f t="shared" si="13"/>
        <v>120000</v>
      </c>
      <c r="M52" s="126">
        <v>0</v>
      </c>
      <c r="N52" s="127">
        <v>0</v>
      </c>
      <c r="O52" s="126">
        <v>0</v>
      </c>
      <c r="P52" s="127">
        <v>0</v>
      </c>
      <c r="Q52" s="126">
        <v>0</v>
      </c>
      <c r="R52" s="127">
        <v>0</v>
      </c>
      <c r="S52" s="126">
        <v>0</v>
      </c>
      <c r="T52" s="127">
        <v>0</v>
      </c>
      <c r="U52" s="126">
        <f t="shared" si="1"/>
        <v>0</v>
      </c>
      <c r="V52" s="127">
        <f t="shared" si="2"/>
        <v>0</v>
      </c>
      <c r="W52" s="126">
        <f t="shared" si="3"/>
        <v>0</v>
      </c>
      <c r="X52" s="126">
        <f t="shared" si="4"/>
        <v>0</v>
      </c>
      <c r="Y52" s="126">
        <f t="shared" si="5"/>
        <v>0</v>
      </c>
      <c r="Z52" s="126">
        <f t="shared" si="6"/>
        <v>0</v>
      </c>
      <c r="AA52" s="128">
        <f t="shared" si="7"/>
        <v>0</v>
      </c>
      <c r="AB52" s="126">
        <f t="shared" si="8"/>
        <v>0</v>
      </c>
      <c r="AC52" s="126">
        <f t="shared" si="9"/>
        <v>0</v>
      </c>
      <c r="AD52" s="129" t="s">
        <v>2</v>
      </c>
      <c r="AE52" s="1"/>
      <c r="AF52" s="13"/>
      <c r="AG52" s="15"/>
      <c r="AH52" s="15"/>
      <c r="AI52" s="15"/>
      <c r="AJ52" s="15"/>
      <c r="AK52" s="16"/>
      <c r="AL52" s="16"/>
      <c r="AM52" s="15"/>
      <c r="AN52" s="24">
        <v>0</v>
      </c>
      <c r="AO52" s="26">
        <v>120000000</v>
      </c>
      <c r="AP52" s="19"/>
      <c r="AQ52" s="19"/>
      <c r="AR52" s="9"/>
      <c r="AS52" s="34"/>
      <c r="AT52" s="35"/>
      <c r="AU52" s="35"/>
      <c r="AV52" s="9"/>
      <c r="AY52" s="161" t="s">
        <v>288</v>
      </c>
      <c r="AZ52" s="161" t="s">
        <v>288</v>
      </c>
      <c r="BA52" s="166" t="s">
        <v>288</v>
      </c>
      <c r="BB52" s="193" t="s">
        <v>288</v>
      </c>
      <c r="BC52" t="s">
        <v>288</v>
      </c>
    </row>
    <row r="53" spans="1:55" ht="33.75" x14ac:dyDescent="0.25">
      <c r="A53" s="117"/>
      <c r="B53" s="118" t="s">
        <v>129</v>
      </c>
      <c r="C53" s="119" t="s">
        <v>130</v>
      </c>
      <c r="D53" s="120" t="s">
        <v>131</v>
      </c>
      <c r="E53" s="121"/>
      <c r="F53" s="142"/>
      <c r="G53" s="142"/>
      <c r="H53" s="142"/>
      <c r="I53" s="142"/>
      <c r="J53" s="143">
        <v>2</v>
      </c>
      <c r="K53" s="144">
        <f>600000000*0.001</f>
        <v>600000</v>
      </c>
      <c r="L53" s="125">
        <f t="shared" si="13"/>
        <v>600000</v>
      </c>
      <c r="M53" s="126">
        <f>25%*J53</f>
        <v>0.5</v>
      </c>
      <c r="N53" s="127">
        <f>150000000*0.001</f>
        <v>150000</v>
      </c>
      <c r="O53" s="126">
        <v>0</v>
      </c>
      <c r="P53" s="175">
        <v>150000000</v>
      </c>
      <c r="Q53" s="126">
        <v>0</v>
      </c>
      <c r="R53" s="175">
        <v>300000000</v>
      </c>
      <c r="S53" s="126">
        <v>0</v>
      </c>
      <c r="T53" s="127">
        <v>0</v>
      </c>
      <c r="U53" s="126">
        <f t="shared" si="1"/>
        <v>0.5</v>
      </c>
      <c r="V53" s="127">
        <f t="shared" si="2"/>
        <v>450150000</v>
      </c>
      <c r="W53" s="126">
        <f t="shared" si="3"/>
        <v>25</v>
      </c>
      <c r="X53" s="126">
        <f t="shared" si="4"/>
        <v>75025</v>
      </c>
      <c r="Y53" s="126">
        <f t="shared" si="5"/>
        <v>75025</v>
      </c>
      <c r="Z53" s="126">
        <f t="shared" si="6"/>
        <v>0.5</v>
      </c>
      <c r="AA53" s="128">
        <f t="shared" si="7"/>
        <v>450150000</v>
      </c>
      <c r="AB53" s="126">
        <f t="shared" si="8"/>
        <v>0</v>
      </c>
      <c r="AC53" s="126">
        <f t="shared" si="9"/>
        <v>0</v>
      </c>
      <c r="AD53" s="129" t="s">
        <v>2</v>
      </c>
      <c r="AE53" s="1"/>
      <c r="AF53" s="13"/>
      <c r="AG53" s="15"/>
      <c r="AH53" s="15"/>
      <c r="AI53" s="15"/>
      <c r="AJ53" s="15"/>
      <c r="AK53" s="16"/>
      <c r="AL53" s="16"/>
      <c r="AM53" s="15"/>
      <c r="AN53" s="28">
        <v>600000000</v>
      </c>
      <c r="AO53" s="26">
        <v>600000000</v>
      </c>
      <c r="AP53" s="19"/>
      <c r="AQ53" s="19"/>
      <c r="AR53" s="9"/>
      <c r="AS53" s="34"/>
      <c r="AT53" s="35"/>
      <c r="AU53" s="35"/>
      <c r="AV53" s="9"/>
      <c r="AY53" s="160">
        <v>150000000</v>
      </c>
      <c r="AZ53" s="162">
        <v>300000000</v>
      </c>
      <c r="BA53" s="158">
        <f>AZ53-AY53</f>
        <v>150000000</v>
      </c>
      <c r="BB53" s="193">
        <v>450000000</v>
      </c>
      <c r="BC53" s="221">
        <f>BB53-BA53</f>
        <v>300000000</v>
      </c>
    </row>
    <row r="54" spans="1:55" ht="67.5" x14ac:dyDescent="0.25">
      <c r="A54" s="130"/>
      <c r="B54" s="131" t="s">
        <v>132</v>
      </c>
      <c r="C54" s="132" t="s">
        <v>133</v>
      </c>
      <c r="D54" s="133" t="s">
        <v>73</v>
      </c>
      <c r="E54" s="134" t="s">
        <v>10</v>
      </c>
      <c r="F54" s="135"/>
      <c r="G54" s="135"/>
      <c r="H54" s="135"/>
      <c r="I54" s="135"/>
      <c r="J54" s="103" t="s">
        <v>14</v>
      </c>
      <c r="K54" s="136">
        <f>AN54*0.001</f>
        <v>1612889.35</v>
      </c>
      <c r="L54" s="137"/>
      <c r="M54" s="126"/>
      <c r="N54" s="127"/>
      <c r="O54" s="126"/>
      <c r="P54" s="127"/>
      <c r="Q54" s="126"/>
      <c r="R54" s="127"/>
      <c r="S54" s="126"/>
      <c r="T54" s="127"/>
      <c r="U54" s="126"/>
      <c r="V54" s="127"/>
      <c r="W54" s="126"/>
      <c r="X54" s="126"/>
      <c r="Y54" s="126"/>
      <c r="Z54" s="126"/>
      <c r="AA54" s="128"/>
      <c r="AB54" s="126"/>
      <c r="AC54" s="126"/>
      <c r="AD54" s="129" t="s">
        <v>2</v>
      </c>
      <c r="AE54" s="1" t="s">
        <v>3</v>
      </c>
      <c r="AF54" s="13"/>
      <c r="AG54" s="14" t="s">
        <v>4</v>
      </c>
      <c r="AH54" s="14" t="str">
        <f t="shared" ref="AH54:AI58" si="15">IF(AN54&gt;=1,"√",IF(AN54&gt;=0,"X",))</f>
        <v>√</v>
      </c>
      <c r="AI54" s="14" t="str">
        <f t="shared" si="15"/>
        <v>√</v>
      </c>
      <c r="AJ54" s="15"/>
      <c r="AK54" s="16"/>
      <c r="AL54" s="16"/>
      <c r="AM54" s="15"/>
      <c r="AN54" s="36">
        <f>SUM(AN55:AN56)</f>
        <v>1612889350</v>
      </c>
      <c r="AO54" s="18">
        <f>SUM(AO55:AO56)</f>
        <v>1317129350</v>
      </c>
      <c r="AP54" s="19"/>
      <c r="AQ54" s="19"/>
      <c r="AR54" s="37" t="e">
        <f>AN54+AN55+AN56+AN57+AN58+AN60+AN61+AN63+AN64+AN65+AN69+AN70+AN74+AN75+AN76+AN77+AN79+AN80+AN81+AN85+AN86+AN88+AN89+AN90+AN91+AN92+AN94+#REF!+#REF!+#REF!+#REF!+#REF!+#REF!+#REF!+AN104+AN106+AN71</f>
        <v>#REF!</v>
      </c>
      <c r="AS54" s="38"/>
      <c r="AT54" s="35"/>
      <c r="AU54" s="35"/>
      <c r="AV54" s="9"/>
      <c r="AY54" s="160"/>
      <c r="AZ54" s="160"/>
      <c r="BA54" s="158"/>
    </row>
    <row r="55" spans="1:55" ht="22.5" x14ac:dyDescent="0.25">
      <c r="A55" s="117"/>
      <c r="B55" s="118" t="s">
        <v>134</v>
      </c>
      <c r="C55" s="119" t="s">
        <v>135</v>
      </c>
      <c r="D55" s="120" t="s">
        <v>136</v>
      </c>
      <c r="E55" s="121" t="s">
        <v>45</v>
      </c>
      <c r="F55" s="122"/>
      <c r="G55" s="122"/>
      <c r="H55" s="122"/>
      <c r="I55" s="122"/>
      <c r="J55" s="123">
        <v>100</v>
      </c>
      <c r="K55" s="124">
        <f>AN55*0.001</f>
        <v>918305.5</v>
      </c>
      <c r="L55" s="125">
        <f t="shared" si="13"/>
        <v>724650.5</v>
      </c>
      <c r="M55" s="126">
        <f>14.92%*J55</f>
        <v>14.92</v>
      </c>
      <c r="N55" s="127">
        <f>108548480*0.001</f>
        <v>108548.48</v>
      </c>
      <c r="O55" s="126">
        <v>0</v>
      </c>
      <c r="P55" s="175">
        <v>162953900</v>
      </c>
      <c r="Q55" s="126">
        <v>0</v>
      </c>
      <c r="R55" s="175">
        <v>306637480</v>
      </c>
      <c r="S55" s="126">
        <v>0</v>
      </c>
      <c r="T55" s="127">
        <v>0</v>
      </c>
      <c r="U55" s="126">
        <f t="shared" si="1"/>
        <v>14.92</v>
      </c>
      <c r="V55" s="127">
        <f t="shared" si="2"/>
        <v>469699928.48000002</v>
      </c>
      <c r="W55" s="126">
        <f t="shared" si="3"/>
        <v>14.92</v>
      </c>
      <c r="X55" s="126">
        <f t="shared" si="4"/>
        <v>51148.547893919836</v>
      </c>
      <c r="Y55" s="126">
        <f t="shared" si="5"/>
        <v>64817.443509664314</v>
      </c>
      <c r="Z55" s="126">
        <f t="shared" si="6"/>
        <v>14.92</v>
      </c>
      <c r="AA55" s="128">
        <f t="shared" si="7"/>
        <v>469699928.48000002</v>
      </c>
      <c r="AB55" s="126">
        <f t="shared" si="8"/>
        <v>0</v>
      </c>
      <c r="AC55" s="126">
        <f t="shared" si="9"/>
        <v>0</v>
      </c>
      <c r="AD55" s="129" t="s">
        <v>2</v>
      </c>
      <c r="AE55" s="1" t="s">
        <v>3</v>
      </c>
      <c r="AF55" s="2"/>
      <c r="AG55" s="3" t="s">
        <v>4</v>
      </c>
      <c r="AH55" s="3" t="str">
        <f t="shared" si="15"/>
        <v>√</v>
      </c>
      <c r="AI55" s="3" t="str">
        <f t="shared" si="15"/>
        <v>√</v>
      </c>
      <c r="AJ55" s="4"/>
      <c r="AK55" s="5"/>
      <c r="AL55" s="5"/>
      <c r="AM55" s="4"/>
      <c r="AN55" s="39">
        <v>918305500</v>
      </c>
      <c r="AO55" s="7">
        <v>724650500</v>
      </c>
      <c r="AP55" s="8"/>
      <c r="AQ55" s="8"/>
      <c r="AR55" s="9"/>
      <c r="AS55" s="40"/>
      <c r="AT55" s="41"/>
      <c r="AU55" s="41"/>
      <c r="AV55" s="42"/>
      <c r="AY55" s="162">
        <v>108548480</v>
      </c>
      <c r="AZ55" s="161">
        <v>271502380</v>
      </c>
      <c r="BA55" s="158">
        <f>AZ55-AY55</f>
        <v>162953900</v>
      </c>
      <c r="BB55" s="193">
        <v>469591380</v>
      </c>
      <c r="BC55" s="221">
        <f>BB55-BA55</f>
        <v>306637480</v>
      </c>
    </row>
    <row r="56" spans="1:55" ht="22.5" x14ac:dyDescent="0.25">
      <c r="A56" s="117"/>
      <c r="B56" s="118" t="s">
        <v>137</v>
      </c>
      <c r="C56" s="119" t="s">
        <v>138</v>
      </c>
      <c r="D56" s="120" t="s">
        <v>139</v>
      </c>
      <c r="E56" s="121" t="s">
        <v>45</v>
      </c>
      <c r="F56" s="122"/>
      <c r="G56" s="122"/>
      <c r="H56" s="122"/>
      <c r="I56" s="122"/>
      <c r="J56" s="123">
        <v>70</v>
      </c>
      <c r="K56" s="144">
        <f>694583850*0.001</f>
        <v>694583.85</v>
      </c>
      <c r="L56" s="125">
        <f t="shared" ref="L56:L66" si="16">AO56*0.001</f>
        <v>592478.85</v>
      </c>
      <c r="M56" s="126">
        <f>15.33%*J56</f>
        <v>10.731</v>
      </c>
      <c r="N56" s="127">
        <f>91043410*0.001</f>
        <v>91043.41</v>
      </c>
      <c r="O56" s="126">
        <v>0</v>
      </c>
      <c r="P56" s="175">
        <v>129262150</v>
      </c>
      <c r="Q56" s="126">
        <v>0</v>
      </c>
      <c r="R56" s="175">
        <v>253478260</v>
      </c>
      <c r="S56" s="126">
        <v>0</v>
      </c>
      <c r="T56" s="127">
        <v>0</v>
      </c>
      <c r="U56" s="126">
        <f t="shared" si="1"/>
        <v>10.731</v>
      </c>
      <c r="V56" s="127">
        <f t="shared" si="2"/>
        <v>382831453.40999997</v>
      </c>
      <c r="W56" s="126">
        <f t="shared" si="3"/>
        <v>15.329999999999998</v>
      </c>
      <c r="X56" s="126">
        <f t="shared" si="4"/>
        <v>55116.664951251027</v>
      </c>
      <c r="Y56" s="126">
        <f t="shared" si="5"/>
        <v>64615.210046738379</v>
      </c>
      <c r="Z56" s="126">
        <f t="shared" si="6"/>
        <v>10.731</v>
      </c>
      <c r="AA56" s="128">
        <f t="shared" si="7"/>
        <v>382831453.40999997</v>
      </c>
      <c r="AB56" s="126">
        <f t="shared" si="8"/>
        <v>0</v>
      </c>
      <c r="AC56" s="126">
        <f t="shared" si="9"/>
        <v>0</v>
      </c>
      <c r="AD56" s="129" t="s">
        <v>2</v>
      </c>
      <c r="AE56" s="1"/>
      <c r="AF56" s="13"/>
      <c r="AG56" s="14"/>
      <c r="AH56" s="14"/>
      <c r="AI56" s="14"/>
      <c r="AJ56" s="15"/>
      <c r="AK56" s="16"/>
      <c r="AL56" s="16"/>
      <c r="AM56" s="15"/>
      <c r="AN56" s="28">
        <v>694583850</v>
      </c>
      <c r="AO56" s="29">
        <v>592478850</v>
      </c>
      <c r="AP56" s="19"/>
      <c r="AQ56" s="19"/>
      <c r="AR56" s="9"/>
      <c r="AS56" s="34"/>
      <c r="AT56" s="35"/>
      <c r="AU56" s="35"/>
      <c r="AV56" s="9"/>
      <c r="AY56" s="160">
        <v>91043410</v>
      </c>
      <c r="AZ56" s="162">
        <v>220305560</v>
      </c>
      <c r="BA56" s="158">
        <f>AZ56-AY56</f>
        <v>129262150</v>
      </c>
      <c r="BB56" s="193">
        <v>382740410</v>
      </c>
      <c r="BC56" s="221">
        <f>BB56-BA56</f>
        <v>253478260</v>
      </c>
    </row>
    <row r="57" spans="1:55" ht="33.75" x14ac:dyDescent="0.25">
      <c r="A57" s="130"/>
      <c r="B57" s="131" t="s">
        <v>140</v>
      </c>
      <c r="C57" s="132" t="s">
        <v>141</v>
      </c>
      <c r="D57" s="133" t="s">
        <v>142</v>
      </c>
      <c r="E57" s="134" t="s">
        <v>10</v>
      </c>
      <c r="F57" s="135"/>
      <c r="G57" s="135"/>
      <c r="H57" s="135"/>
      <c r="I57" s="135"/>
      <c r="J57" s="103" t="s">
        <v>14</v>
      </c>
      <c r="K57" s="136">
        <f>AN57*0.001</f>
        <v>431946.7</v>
      </c>
      <c r="L57" s="137"/>
      <c r="M57" s="126"/>
      <c r="N57" s="127"/>
      <c r="O57" s="126"/>
      <c r="P57" s="127"/>
      <c r="Q57" s="126"/>
      <c r="R57" s="127"/>
      <c r="S57" s="126"/>
      <c r="T57" s="127"/>
      <c r="U57" s="126"/>
      <c r="V57" s="127"/>
      <c r="W57" s="126"/>
      <c r="X57" s="126"/>
      <c r="Y57" s="126"/>
      <c r="Z57" s="126"/>
      <c r="AA57" s="128"/>
      <c r="AB57" s="126"/>
      <c r="AC57" s="126"/>
      <c r="AD57" s="129" t="s">
        <v>2</v>
      </c>
      <c r="AE57" s="1" t="s">
        <v>3</v>
      </c>
      <c r="AF57" s="13"/>
      <c r="AG57" s="14" t="s">
        <v>4</v>
      </c>
      <c r="AH57" s="14" t="str">
        <f t="shared" si="15"/>
        <v>√</v>
      </c>
      <c r="AI57" s="14" t="str">
        <f t="shared" si="15"/>
        <v>√</v>
      </c>
      <c r="AJ57" s="15"/>
      <c r="AK57" s="16"/>
      <c r="AL57" s="16"/>
      <c r="AM57" s="15"/>
      <c r="AN57" s="36">
        <f>SUM(AN58:AN62)</f>
        <v>431946700</v>
      </c>
      <c r="AO57" s="18">
        <f>SUM(AO58:AO62)</f>
        <v>182199800</v>
      </c>
      <c r="AP57" s="19"/>
      <c r="AQ57" s="19"/>
      <c r="AR57" s="9"/>
      <c r="AS57" s="34"/>
      <c r="AT57" s="35"/>
      <c r="AU57" s="35"/>
      <c r="AV57" s="9"/>
      <c r="AY57" s="160"/>
      <c r="AZ57" s="160"/>
      <c r="BA57" s="158"/>
    </row>
    <row r="58" spans="1:55" ht="22.5" x14ac:dyDescent="0.25">
      <c r="A58" s="117"/>
      <c r="B58" s="118" t="s">
        <v>143</v>
      </c>
      <c r="C58" s="119" t="s">
        <v>144</v>
      </c>
      <c r="D58" s="120" t="s">
        <v>145</v>
      </c>
      <c r="E58" s="121" t="s">
        <v>18</v>
      </c>
      <c r="F58" s="122"/>
      <c r="G58" s="122"/>
      <c r="H58" s="122"/>
      <c r="I58" s="122"/>
      <c r="J58" s="123">
        <v>1</v>
      </c>
      <c r="K58" s="124">
        <f>AN58*0.001</f>
        <v>82739.150000000009</v>
      </c>
      <c r="L58" s="125">
        <f t="shared" si="16"/>
        <v>39422.050000000003</v>
      </c>
      <c r="M58" s="126">
        <f>10%*J58</f>
        <v>0.1</v>
      </c>
      <c r="N58" s="127">
        <f>1815000*0.001</f>
        <v>1815</v>
      </c>
      <c r="O58" s="126">
        <v>0</v>
      </c>
      <c r="P58" s="175">
        <v>7180000</v>
      </c>
      <c r="Q58" s="126">
        <v>0</v>
      </c>
      <c r="R58" s="175">
        <v>8094410</v>
      </c>
      <c r="S58" s="126">
        <v>0</v>
      </c>
      <c r="T58" s="127">
        <v>0</v>
      </c>
      <c r="U58" s="126">
        <f t="shared" si="1"/>
        <v>0.1</v>
      </c>
      <c r="V58" s="127">
        <f t="shared" si="2"/>
        <v>15276225</v>
      </c>
      <c r="W58" s="126">
        <f t="shared" si="3"/>
        <v>10</v>
      </c>
      <c r="X58" s="126">
        <f t="shared" si="4"/>
        <v>18463.115707618461</v>
      </c>
      <c r="Y58" s="126">
        <f t="shared" si="5"/>
        <v>38750.4581826668</v>
      </c>
      <c r="Z58" s="126">
        <f t="shared" si="6"/>
        <v>0.1</v>
      </c>
      <c r="AA58" s="128">
        <f t="shared" si="7"/>
        <v>15276225</v>
      </c>
      <c r="AB58" s="126">
        <f t="shared" si="8"/>
        <v>0</v>
      </c>
      <c r="AC58" s="126">
        <f t="shared" si="9"/>
        <v>0</v>
      </c>
      <c r="AD58" s="129" t="s">
        <v>2</v>
      </c>
      <c r="AE58" s="1" t="s">
        <v>3</v>
      </c>
      <c r="AF58" s="2"/>
      <c r="AG58" s="3" t="s">
        <v>4</v>
      </c>
      <c r="AH58" s="3" t="str">
        <f t="shared" si="15"/>
        <v>√</v>
      </c>
      <c r="AI58" s="3" t="str">
        <f t="shared" si="15"/>
        <v>√</v>
      </c>
      <c r="AJ58" s="4"/>
      <c r="AK58" s="5"/>
      <c r="AL58" s="5"/>
      <c r="AM58" s="4"/>
      <c r="AN58" s="39">
        <v>82739150</v>
      </c>
      <c r="AO58" s="7">
        <v>39422050</v>
      </c>
      <c r="AP58" s="8"/>
      <c r="AQ58" s="8"/>
      <c r="AR58" s="9"/>
      <c r="AS58" s="40"/>
      <c r="AT58" s="41"/>
      <c r="AU58" s="41"/>
      <c r="AV58" s="42"/>
      <c r="AY58" s="162">
        <v>1815000</v>
      </c>
      <c r="AZ58" s="161">
        <v>8995000</v>
      </c>
      <c r="BA58" s="158">
        <f>AZ58-AY58</f>
        <v>7180000</v>
      </c>
      <c r="BB58" s="193">
        <v>15274410</v>
      </c>
      <c r="BC58" s="221">
        <f>BB58-BA58</f>
        <v>8094410</v>
      </c>
    </row>
    <row r="59" spans="1:55" ht="22.5" x14ac:dyDescent="0.25">
      <c r="A59" s="117"/>
      <c r="B59" s="118" t="s">
        <v>146</v>
      </c>
      <c r="C59" s="119" t="s">
        <v>147</v>
      </c>
      <c r="D59" s="120" t="s">
        <v>148</v>
      </c>
      <c r="E59" s="121" t="s">
        <v>31</v>
      </c>
      <c r="F59" s="142"/>
      <c r="G59" s="142"/>
      <c r="H59" s="142"/>
      <c r="I59" s="142"/>
      <c r="J59" s="143">
        <v>1</v>
      </c>
      <c r="K59" s="144">
        <f>46653650*0.001</f>
        <v>46653.65</v>
      </c>
      <c r="L59" s="125">
        <f t="shared" si="16"/>
        <v>35412.5</v>
      </c>
      <c r="M59" s="126">
        <v>0</v>
      </c>
      <c r="N59" s="127">
        <v>0</v>
      </c>
      <c r="O59" s="126">
        <v>0</v>
      </c>
      <c r="P59" s="175">
        <v>10311700</v>
      </c>
      <c r="Q59" s="126">
        <v>0</v>
      </c>
      <c r="R59" s="175">
        <v>9495600</v>
      </c>
      <c r="S59" s="126">
        <v>0</v>
      </c>
      <c r="T59" s="127">
        <v>0</v>
      </c>
      <c r="U59" s="126">
        <f t="shared" si="1"/>
        <v>0</v>
      </c>
      <c r="V59" s="127">
        <f t="shared" si="2"/>
        <v>19807300</v>
      </c>
      <c r="W59" s="126">
        <f t="shared" si="3"/>
        <v>0</v>
      </c>
      <c r="X59" s="126">
        <f t="shared" si="4"/>
        <v>42456.056492900345</v>
      </c>
      <c r="Y59" s="126">
        <f t="shared" si="5"/>
        <v>55933.074479350515</v>
      </c>
      <c r="Z59" s="126">
        <f t="shared" si="6"/>
        <v>0</v>
      </c>
      <c r="AA59" s="128">
        <f t="shared" si="7"/>
        <v>19807300</v>
      </c>
      <c r="AB59" s="126">
        <f t="shared" si="8"/>
        <v>0</v>
      </c>
      <c r="AC59" s="126">
        <f t="shared" si="9"/>
        <v>0</v>
      </c>
      <c r="AD59" s="129" t="s">
        <v>2</v>
      </c>
      <c r="AE59" s="1"/>
      <c r="AF59" s="13"/>
      <c r="AG59" s="15"/>
      <c r="AH59" s="15"/>
      <c r="AI59" s="15"/>
      <c r="AJ59" s="15"/>
      <c r="AK59" s="16"/>
      <c r="AL59" s="16"/>
      <c r="AM59" s="15"/>
      <c r="AN59" s="25">
        <v>46653650</v>
      </c>
      <c r="AO59" s="29">
        <v>35412500</v>
      </c>
      <c r="AP59" s="19"/>
      <c r="AQ59" s="19"/>
      <c r="AR59" s="9"/>
      <c r="AS59" s="34"/>
      <c r="AT59" s="35"/>
      <c r="AU59" s="35"/>
      <c r="AV59" s="9"/>
      <c r="AY59" s="161" t="s">
        <v>288</v>
      </c>
      <c r="AZ59" s="161">
        <v>10311700</v>
      </c>
      <c r="BA59" s="158">
        <v>10311700</v>
      </c>
      <c r="BB59" s="193">
        <v>19807300</v>
      </c>
      <c r="BC59" s="221">
        <f>BB59-BA59</f>
        <v>9495600</v>
      </c>
    </row>
    <row r="60" spans="1:55" ht="22.5" x14ac:dyDescent="0.25">
      <c r="A60" s="117"/>
      <c r="B60" s="118" t="s">
        <v>149</v>
      </c>
      <c r="C60" s="119" t="s">
        <v>150</v>
      </c>
      <c r="D60" s="120" t="s">
        <v>151</v>
      </c>
      <c r="E60" s="121" t="s">
        <v>18</v>
      </c>
      <c r="F60" s="122"/>
      <c r="G60" s="122"/>
      <c r="H60" s="122"/>
      <c r="I60" s="122"/>
      <c r="J60" s="123">
        <v>1</v>
      </c>
      <c r="K60" s="124">
        <f t="shared" ref="K60:K65" si="17">AN60*0.001</f>
        <v>70653</v>
      </c>
      <c r="L60" s="125">
        <f t="shared" si="16"/>
        <v>24703</v>
      </c>
      <c r="M60" s="126">
        <v>0</v>
      </c>
      <c r="N60" s="127">
        <v>0</v>
      </c>
      <c r="O60" s="126">
        <v>0</v>
      </c>
      <c r="P60" s="175">
        <v>8044100</v>
      </c>
      <c r="Q60" s="126">
        <v>0</v>
      </c>
      <c r="R60" s="175">
        <v>4907071</v>
      </c>
      <c r="S60" s="126">
        <v>0</v>
      </c>
      <c r="T60" s="127">
        <v>0</v>
      </c>
      <c r="U60" s="126">
        <f t="shared" si="1"/>
        <v>0</v>
      </c>
      <c r="V60" s="127">
        <f t="shared" si="2"/>
        <v>12951171</v>
      </c>
      <c r="W60" s="126">
        <f t="shared" si="3"/>
        <v>0</v>
      </c>
      <c r="X60" s="126">
        <f t="shared" si="4"/>
        <v>18330.673856736445</v>
      </c>
      <c r="Y60" s="126">
        <f t="shared" si="5"/>
        <v>52427.522972918268</v>
      </c>
      <c r="Z60" s="126">
        <f t="shared" si="6"/>
        <v>0</v>
      </c>
      <c r="AA60" s="128">
        <f t="shared" si="7"/>
        <v>12951171</v>
      </c>
      <c r="AB60" s="126">
        <f t="shared" si="8"/>
        <v>0</v>
      </c>
      <c r="AC60" s="126">
        <f t="shared" si="9"/>
        <v>0</v>
      </c>
      <c r="AD60" s="129" t="s">
        <v>2</v>
      </c>
      <c r="AE60" s="1" t="s">
        <v>3</v>
      </c>
      <c r="AF60" s="2"/>
      <c r="AG60" s="3" t="s">
        <v>4</v>
      </c>
      <c r="AH60" s="3" t="str">
        <f>IF(AN60&gt;=1,"√",IF(AN60&gt;=0,"X",))</f>
        <v>√</v>
      </c>
      <c r="AI60" s="3" t="str">
        <f>IF(AO60&gt;=1,"√",IF(AO60&gt;=0,"X",))</f>
        <v>√</v>
      </c>
      <c r="AJ60" s="4"/>
      <c r="AK60" s="5"/>
      <c r="AL60" s="5"/>
      <c r="AM60" s="4"/>
      <c r="AN60" s="39">
        <v>70653000</v>
      </c>
      <c r="AO60" s="7">
        <v>24703000</v>
      </c>
      <c r="AP60" s="8"/>
      <c r="AQ60" s="8"/>
      <c r="AR60" s="9"/>
      <c r="AS60" s="40"/>
      <c r="AT60" s="41"/>
      <c r="AU60" s="41"/>
      <c r="AV60" s="42"/>
      <c r="AY60" s="160"/>
      <c r="AZ60" s="160">
        <v>8044100</v>
      </c>
      <c r="BA60" s="158">
        <v>8044100</v>
      </c>
      <c r="BB60" s="193">
        <v>12951171</v>
      </c>
      <c r="BC60" s="221">
        <f>BB60-BA60</f>
        <v>4907071</v>
      </c>
    </row>
    <row r="61" spans="1:55" ht="33.75" x14ac:dyDescent="0.25">
      <c r="A61" s="117"/>
      <c r="B61" s="118" t="s">
        <v>152</v>
      </c>
      <c r="C61" s="119" t="s">
        <v>153</v>
      </c>
      <c r="D61" s="120" t="s">
        <v>154</v>
      </c>
      <c r="E61" s="121" t="s">
        <v>18</v>
      </c>
      <c r="F61" s="122"/>
      <c r="G61" s="122"/>
      <c r="H61" s="122"/>
      <c r="I61" s="122"/>
      <c r="J61" s="123">
        <v>1</v>
      </c>
      <c r="K61" s="124">
        <f t="shared" si="17"/>
        <v>175808.35</v>
      </c>
      <c r="L61" s="125">
        <f t="shared" si="16"/>
        <v>35985.200000000004</v>
      </c>
      <c r="M61" s="126">
        <v>0</v>
      </c>
      <c r="N61" s="127">
        <v>0</v>
      </c>
      <c r="O61" s="126">
        <v>0</v>
      </c>
      <c r="P61" s="175">
        <v>2090000</v>
      </c>
      <c r="Q61" s="126">
        <v>0</v>
      </c>
      <c r="R61" s="175">
        <v>11400000</v>
      </c>
      <c r="S61" s="126">
        <v>0</v>
      </c>
      <c r="T61" s="127">
        <v>0</v>
      </c>
      <c r="U61" s="126">
        <f t="shared" si="1"/>
        <v>0</v>
      </c>
      <c r="V61" s="127">
        <f t="shared" si="2"/>
        <v>13490000</v>
      </c>
      <c r="W61" s="126">
        <f t="shared" si="3"/>
        <v>0</v>
      </c>
      <c r="X61" s="126">
        <f t="shared" si="4"/>
        <v>7673.1281534693881</v>
      </c>
      <c r="Y61" s="126">
        <f t="shared" si="5"/>
        <v>37487.633805008722</v>
      </c>
      <c r="Z61" s="126">
        <f t="shared" si="6"/>
        <v>0</v>
      </c>
      <c r="AA61" s="128">
        <f t="shared" si="7"/>
        <v>13490000</v>
      </c>
      <c r="AB61" s="126">
        <f t="shared" si="8"/>
        <v>0</v>
      </c>
      <c r="AC61" s="126">
        <f t="shared" si="9"/>
        <v>0</v>
      </c>
      <c r="AD61" s="129" t="s">
        <v>2</v>
      </c>
      <c r="AE61" s="1" t="s">
        <v>3</v>
      </c>
      <c r="AF61" s="2"/>
      <c r="AG61" s="3" t="s">
        <v>4</v>
      </c>
      <c r="AH61" s="3" t="str">
        <f>IF(AN61&gt;=1,"√",IF(AN61&gt;=0,"X",))</f>
        <v>√</v>
      </c>
      <c r="AI61" s="3" t="str">
        <f>IF(AO61&gt;=1,"√",IF(AO61&gt;=0,"X",))</f>
        <v>√</v>
      </c>
      <c r="AJ61" s="4"/>
      <c r="AK61" s="5"/>
      <c r="AL61" s="5"/>
      <c r="AM61" s="4"/>
      <c r="AN61" s="39">
        <v>175808350</v>
      </c>
      <c r="AO61" s="7">
        <v>35985200</v>
      </c>
      <c r="AP61" s="8"/>
      <c r="AQ61" s="8"/>
      <c r="AR61" s="9"/>
      <c r="AS61" s="40"/>
      <c r="AT61" s="41"/>
      <c r="AU61" s="41"/>
      <c r="AV61" s="42"/>
      <c r="AY61" s="161" t="s">
        <v>288</v>
      </c>
      <c r="AZ61" s="161">
        <v>2090000</v>
      </c>
      <c r="BA61" s="158">
        <v>2090000</v>
      </c>
      <c r="BB61" s="193">
        <v>13490000</v>
      </c>
      <c r="BC61" s="221">
        <f>BB61-BA61</f>
        <v>11400000</v>
      </c>
    </row>
    <row r="62" spans="1:55" ht="22.5" x14ac:dyDescent="0.25">
      <c r="A62" s="117"/>
      <c r="B62" s="118" t="s">
        <v>155</v>
      </c>
      <c r="C62" s="119" t="s">
        <v>156</v>
      </c>
      <c r="D62" s="120" t="s">
        <v>157</v>
      </c>
      <c r="E62" s="121" t="s">
        <v>18</v>
      </c>
      <c r="F62" s="142"/>
      <c r="G62" s="142"/>
      <c r="H62" s="142"/>
      <c r="I62" s="142"/>
      <c r="J62" s="143">
        <v>1</v>
      </c>
      <c r="K62" s="124">
        <f t="shared" si="17"/>
        <v>56092.55</v>
      </c>
      <c r="L62" s="125">
        <f t="shared" si="16"/>
        <v>46677.05</v>
      </c>
      <c r="M62" s="126">
        <f>23%*J62</f>
        <v>0.23</v>
      </c>
      <c r="N62" s="127">
        <f>10600000*0.001</f>
        <v>10600</v>
      </c>
      <c r="O62" s="126">
        <v>0</v>
      </c>
      <c r="P62" s="175">
        <v>24599680</v>
      </c>
      <c r="Q62" s="126">
        <v>0</v>
      </c>
      <c r="R62" s="175">
        <v>13960000</v>
      </c>
      <c r="S62" s="126">
        <v>0</v>
      </c>
      <c r="T62" s="127">
        <v>0</v>
      </c>
      <c r="U62" s="126">
        <f t="shared" si="1"/>
        <v>0.23</v>
      </c>
      <c r="V62" s="127">
        <f t="shared" si="2"/>
        <v>38570280</v>
      </c>
      <c r="W62" s="126">
        <f t="shared" si="3"/>
        <v>23</v>
      </c>
      <c r="X62" s="126">
        <f t="shared" si="4"/>
        <v>68761.858749513078</v>
      </c>
      <c r="Y62" s="126">
        <f t="shared" si="5"/>
        <v>82632.214332311065</v>
      </c>
      <c r="Z62" s="126">
        <f t="shared" si="6"/>
        <v>0.23</v>
      </c>
      <c r="AA62" s="128">
        <f t="shared" si="7"/>
        <v>38570280</v>
      </c>
      <c r="AB62" s="126">
        <f t="shared" si="8"/>
        <v>0</v>
      </c>
      <c r="AC62" s="126">
        <f t="shared" si="9"/>
        <v>0</v>
      </c>
      <c r="AD62" s="129" t="s">
        <v>2</v>
      </c>
      <c r="AE62" s="1" t="s">
        <v>3</v>
      </c>
      <c r="AF62" s="2"/>
      <c r="AG62" s="4"/>
      <c r="AH62" s="4"/>
      <c r="AI62" s="4"/>
      <c r="AJ62" s="4"/>
      <c r="AK62" s="5"/>
      <c r="AL62" s="5"/>
      <c r="AM62" s="4"/>
      <c r="AN62" s="39">
        <v>56092550</v>
      </c>
      <c r="AO62" s="7">
        <v>46677050</v>
      </c>
      <c r="AP62" s="43"/>
      <c r="AQ62" s="43"/>
      <c r="AR62" s="9"/>
      <c r="AS62" s="40"/>
      <c r="AT62" s="41"/>
      <c r="AU62" s="41"/>
      <c r="AV62" s="42"/>
      <c r="AY62" s="160">
        <v>10600000</v>
      </c>
      <c r="AZ62" s="162">
        <v>35199680</v>
      </c>
      <c r="BA62" s="158">
        <f>AZ62-AY62</f>
        <v>24599680</v>
      </c>
      <c r="BB62" s="193">
        <v>38559680</v>
      </c>
      <c r="BC62" s="221">
        <f>BB62-BA62</f>
        <v>13960000</v>
      </c>
    </row>
    <row r="63" spans="1:55" ht="45" x14ac:dyDescent="0.25">
      <c r="A63" s="130"/>
      <c r="B63" s="131" t="s">
        <v>158</v>
      </c>
      <c r="C63" s="132" t="s">
        <v>159</v>
      </c>
      <c r="D63" s="133" t="s">
        <v>160</v>
      </c>
      <c r="E63" s="134" t="s">
        <v>10</v>
      </c>
      <c r="F63" s="135"/>
      <c r="G63" s="135"/>
      <c r="H63" s="135"/>
      <c r="I63" s="135"/>
      <c r="J63" s="103" t="s">
        <v>14</v>
      </c>
      <c r="K63" s="136">
        <f t="shared" si="17"/>
        <v>389363.05</v>
      </c>
      <c r="L63" s="137"/>
      <c r="M63" s="126"/>
      <c r="N63" s="127"/>
      <c r="O63" s="126"/>
      <c r="P63" s="127"/>
      <c r="Q63" s="126"/>
      <c r="R63" s="127"/>
      <c r="S63" s="126"/>
      <c r="T63" s="127"/>
      <c r="U63" s="126"/>
      <c r="V63" s="127"/>
      <c r="W63" s="126"/>
      <c r="X63" s="126"/>
      <c r="Y63" s="126"/>
      <c r="Z63" s="126"/>
      <c r="AA63" s="128"/>
      <c r="AB63" s="126"/>
      <c r="AC63" s="126"/>
      <c r="AD63" s="129" t="s">
        <v>2</v>
      </c>
      <c r="AE63" s="1" t="s">
        <v>3</v>
      </c>
      <c r="AF63" s="13"/>
      <c r="AG63" s="14" t="s">
        <v>4</v>
      </c>
      <c r="AH63" s="14" t="str">
        <f>IF(AN63&gt;=1,"√",IF(AN63&gt;=0,"X",))</f>
        <v>√</v>
      </c>
      <c r="AI63" s="14" t="str">
        <f>IF(AO63&gt;=1,"√",IF(AO63&gt;=0,"X",))</f>
        <v>√</v>
      </c>
      <c r="AJ63" s="15"/>
      <c r="AK63" s="16"/>
      <c r="AL63" s="16"/>
      <c r="AM63" s="15"/>
      <c r="AN63" s="36">
        <f>SUM(AN64:AN66)</f>
        <v>389363050</v>
      </c>
      <c r="AO63" s="18">
        <f>SUM(AO64:AO66)</f>
        <v>1261601357</v>
      </c>
      <c r="AP63" s="19"/>
      <c r="AQ63" s="19"/>
      <c r="AR63" s="9"/>
      <c r="AS63" s="34"/>
      <c r="AT63" s="35"/>
      <c r="AU63" s="35"/>
      <c r="AV63" s="9"/>
      <c r="AY63" s="160"/>
      <c r="AZ63" s="160"/>
      <c r="BA63" s="158"/>
    </row>
    <row r="64" spans="1:55" x14ac:dyDescent="0.25">
      <c r="A64" s="117"/>
      <c r="B64" s="118" t="s">
        <v>161</v>
      </c>
      <c r="C64" s="119" t="s">
        <v>162</v>
      </c>
      <c r="D64" s="120" t="s">
        <v>163</v>
      </c>
      <c r="E64" s="121" t="s">
        <v>31</v>
      </c>
      <c r="F64" s="122"/>
      <c r="G64" s="122"/>
      <c r="H64" s="122"/>
      <c r="I64" s="122"/>
      <c r="J64" s="123">
        <v>1</v>
      </c>
      <c r="K64" s="124">
        <f t="shared" si="17"/>
        <v>167512.85</v>
      </c>
      <c r="L64" s="125">
        <f t="shared" si="16"/>
        <v>104020.25</v>
      </c>
      <c r="M64" s="126">
        <f>22%*J64</f>
        <v>0.22</v>
      </c>
      <c r="N64" s="127">
        <f>20982900*0.001</f>
        <v>20982.9</v>
      </c>
      <c r="O64" s="126">
        <v>0</v>
      </c>
      <c r="P64" s="175">
        <v>39563068</v>
      </c>
      <c r="Q64" s="126">
        <v>0</v>
      </c>
      <c r="R64" s="175">
        <v>45260060</v>
      </c>
      <c r="S64" s="126">
        <v>0</v>
      </c>
      <c r="T64" s="127">
        <v>0</v>
      </c>
      <c r="U64" s="126">
        <f t="shared" si="1"/>
        <v>0.22</v>
      </c>
      <c r="V64" s="127">
        <f t="shared" si="2"/>
        <v>84844110.900000006</v>
      </c>
      <c r="W64" s="126">
        <f t="shared" si="3"/>
        <v>22</v>
      </c>
      <c r="X64" s="126">
        <f t="shared" si="4"/>
        <v>50649.314903304432</v>
      </c>
      <c r="Y64" s="126">
        <f t="shared" si="5"/>
        <v>81564.994219875458</v>
      </c>
      <c r="Z64" s="126">
        <f t="shared" si="6"/>
        <v>0.22</v>
      </c>
      <c r="AA64" s="128">
        <f t="shared" si="7"/>
        <v>84844110.900000006</v>
      </c>
      <c r="AB64" s="126">
        <f t="shared" si="8"/>
        <v>0</v>
      </c>
      <c r="AC64" s="126">
        <f t="shared" si="9"/>
        <v>0</v>
      </c>
      <c r="AD64" s="129" t="s">
        <v>2</v>
      </c>
      <c r="AE64" s="1" t="s">
        <v>3</v>
      </c>
      <c r="AF64" s="2"/>
      <c r="AG64" s="3" t="s">
        <v>4</v>
      </c>
      <c r="AH64" s="3" t="str">
        <f>IF(AN64&gt;=1,"√",IF(AN64&gt;=0,"X",))</f>
        <v>√</v>
      </c>
      <c r="AI64" s="3" t="str">
        <f>IF(AO64&gt;=1,"√",IF(AO64&gt;=0,"X",))</f>
        <v>√</v>
      </c>
      <c r="AJ64" s="4"/>
      <c r="AK64" s="5"/>
      <c r="AL64" s="5"/>
      <c r="AM64" s="4"/>
      <c r="AN64" s="39">
        <v>167512850</v>
      </c>
      <c r="AO64" s="7">
        <v>104020250</v>
      </c>
      <c r="AP64" s="8"/>
      <c r="AQ64" s="8"/>
      <c r="AR64" s="9"/>
      <c r="AS64" s="40"/>
      <c r="AT64" s="41"/>
      <c r="AU64" s="41"/>
      <c r="AV64" s="42"/>
      <c r="AY64" s="162">
        <v>20982900</v>
      </c>
      <c r="AZ64" s="160">
        <v>60545968</v>
      </c>
      <c r="BA64" s="158">
        <f>AZ64-AY64</f>
        <v>39563068</v>
      </c>
      <c r="BB64" s="193">
        <v>84823128</v>
      </c>
      <c r="BC64" s="221">
        <f>BB64-BA64</f>
        <v>45260060</v>
      </c>
    </row>
    <row r="65" spans="1:97" ht="27" customHeight="1" x14ac:dyDescent="0.25">
      <c r="A65" s="117"/>
      <c r="B65" s="118" t="s">
        <v>164</v>
      </c>
      <c r="C65" s="119" t="s">
        <v>165</v>
      </c>
      <c r="D65" s="120" t="s">
        <v>166</v>
      </c>
      <c r="E65" s="121" t="s">
        <v>31</v>
      </c>
      <c r="F65" s="122"/>
      <c r="G65" s="122"/>
      <c r="H65" s="122"/>
      <c r="I65" s="122"/>
      <c r="J65" s="123">
        <v>1</v>
      </c>
      <c r="K65" s="124">
        <f t="shared" si="17"/>
        <v>78947.150000000009</v>
      </c>
      <c r="L65" s="125">
        <f t="shared" si="16"/>
        <v>1058674.1070000001</v>
      </c>
      <c r="M65" s="126">
        <f>15%*J65</f>
        <v>0.15</v>
      </c>
      <c r="N65" s="127">
        <f>154935225*0.001</f>
        <v>154935.22500000001</v>
      </c>
      <c r="O65" s="126">
        <v>0</v>
      </c>
      <c r="P65" s="175">
        <v>236658416</v>
      </c>
      <c r="Q65" s="126">
        <v>0</v>
      </c>
      <c r="R65" s="175">
        <v>309924420</v>
      </c>
      <c r="S65" s="126">
        <v>0</v>
      </c>
      <c r="T65" s="127">
        <v>0</v>
      </c>
      <c r="U65" s="126">
        <f t="shared" si="1"/>
        <v>0.15</v>
      </c>
      <c r="V65" s="127">
        <f t="shared" si="2"/>
        <v>546737771.22500002</v>
      </c>
      <c r="W65" s="126">
        <f t="shared" si="3"/>
        <v>15</v>
      </c>
      <c r="X65" s="126">
        <f t="shared" si="4"/>
        <v>692536.42623577919</v>
      </c>
      <c r="Y65" s="126">
        <f t="shared" si="5"/>
        <v>51643.633069888616</v>
      </c>
      <c r="Z65" s="126">
        <f t="shared" si="6"/>
        <v>0.15</v>
      </c>
      <c r="AA65" s="128">
        <f t="shared" si="7"/>
        <v>546737771.22500002</v>
      </c>
      <c r="AB65" s="126">
        <f t="shared" si="8"/>
        <v>0</v>
      </c>
      <c r="AC65" s="126">
        <f t="shared" si="9"/>
        <v>0</v>
      </c>
      <c r="AD65" s="129" t="s">
        <v>2</v>
      </c>
      <c r="AE65" s="1" t="s">
        <v>3</v>
      </c>
      <c r="AF65" s="2"/>
      <c r="AG65" s="3" t="s">
        <v>4</v>
      </c>
      <c r="AH65" s="3" t="s">
        <v>167</v>
      </c>
      <c r="AI65" s="3" t="s">
        <v>167</v>
      </c>
      <c r="AJ65" s="4"/>
      <c r="AK65" s="5"/>
      <c r="AL65" s="5"/>
      <c r="AM65" s="4"/>
      <c r="AN65" s="39">
        <v>78947150</v>
      </c>
      <c r="AO65" s="7">
        <v>1058674107</v>
      </c>
      <c r="AP65" s="8"/>
      <c r="AQ65" s="8"/>
      <c r="AR65" s="9"/>
      <c r="AS65" s="40"/>
      <c r="AT65" s="41"/>
      <c r="AU65" s="41"/>
      <c r="AV65" s="42"/>
      <c r="AY65" s="160">
        <v>154935225</v>
      </c>
      <c r="AZ65" s="161">
        <v>391593641</v>
      </c>
      <c r="BA65" s="158">
        <f>AZ65-AY65</f>
        <v>236658416</v>
      </c>
      <c r="BB65" s="193">
        <v>546582836</v>
      </c>
      <c r="BC65" s="221">
        <f>BB65-BA65</f>
        <v>309924420</v>
      </c>
    </row>
    <row r="66" spans="1:97" x14ac:dyDescent="0.25">
      <c r="A66" s="117"/>
      <c r="B66" s="118" t="s">
        <v>168</v>
      </c>
      <c r="C66" s="119" t="s">
        <v>169</v>
      </c>
      <c r="D66" s="120" t="s">
        <v>170</v>
      </c>
      <c r="E66" s="121" t="s">
        <v>31</v>
      </c>
      <c r="F66" s="142"/>
      <c r="G66" s="142"/>
      <c r="H66" s="142"/>
      <c r="I66" s="142"/>
      <c r="J66" s="143">
        <v>1</v>
      </c>
      <c r="K66" s="144">
        <f>142903050*0.001</f>
        <v>142903.05000000002</v>
      </c>
      <c r="L66" s="125">
        <f t="shared" si="16"/>
        <v>98907</v>
      </c>
      <c r="M66" s="126">
        <f>13.5%*J66</f>
        <v>0.13500000000000001</v>
      </c>
      <c r="N66" s="127">
        <f>13357000*0.001</f>
        <v>13357</v>
      </c>
      <c r="O66" s="126">
        <v>0</v>
      </c>
      <c r="P66" s="175">
        <v>35499400</v>
      </c>
      <c r="Q66" s="126">
        <v>0</v>
      </c>
      <c r="R66" s="175">
        <v>35333600</v>
      </c>
      <c r="S66" s="126">
        <v>0</v>
      </c>
      <c r="T66" s="127">
        <v>0</v>
      </c>
      <c r="U66" s="126">
        <f t="shared" si="1"/>
        <v>0.13500000000000001</v>
      </c>
      <c r="V66" s="127">
        <f t="shared" si="2"/>
        <v>70846357</v>
      </c>
      <c r="W66" s="126">
        <f t="shared" si="3"/>
        <v>13.5</v>
      </c>
      <c r="X66" s="126">
        <f t="shared" si="4"/>
        <v>49576.518485784589</v>
      </c>
      <c r="Y66" s="126">
        <f t="shared" si="5"/>
        <v>71629.26486497416</v>
      </c>
      <c r="Z66" s="126">
        <f t="shared" si="6"/>
        <v>0.13500000000000001</v>
      </c>
      <c r="AA66" s="128">
        <f t="shared" si="7"/>
        <v>70846357</v>
      </c>
      <c r="AB66" s="126">
        <f t="shared" si="8"/>
        <v>0</v>
      </c>
      <c r="AC66" s="126">
        <f t="shared" si="9"/>
        <v>0</v>
      </c>
      <c r="AD66" s="129" t="s">
        <v>2</v>
      </c>
      <c r="AE66" s="1"/>
      <c r="AF66" s="13"/>
      <c r="AG66" s="15"/>
      <c r="AH66" s="15"/>
      <c r="AI66" s="15"/>
      <c r="AJ66" s="15"/>
      <c r="AK66" s="16"/>
      <c r="AL66" s="16"/>
      <c r="AM66" s="15"/>
      <c r="AN66" s="28">
        <v>142903050</v>
      </c>
      <c r="AO66" s="29">
        <v>98907000</v>
      </c>
      <c r="AP66" s="19"/>
      <c r="AQ66" s="19"/>
      <c r="AR66" s="9"/>
      <c r="AS66" s="34"/>
      <c r="AT66" s="35"/>
      <c r="AU66" s="35"/>
      <c r="AV66" s="9"/>
      <c r="AY66" s="160">
        <v>13357000</v>
      </c>
      <c r="AZ66" s="161">
        <v>48856400</v>
      </c>
      <c r="BA66" s="158">
        <f>AZ66-AY66</f>
        <v>35499400</v>
      </c>
      <c r="BB66" s="193">
        <v>70833000</v>
      </c>
      <c r="BC66" s="221">
        <f>BB66-BA66</f>
        <v>35333600</v>
      </c>
    </row>
    <row r="67" spans="1:97" ht="15.75" x14ac:dyDescent="0.25">
      <c r="A67" s="145"/>
      <c r="B67" s="145"/>
      <c r="C67" s="145"/>
      <c r="D67" s="145"/>
      <c r="E67" s="145"/>
      <c r="F67" s="145"/>
      <c r="G67" s="145"/>
      <c r="H67" s="145"/>
      <c r="I67" s="145"/>
      <c r="J67" s="145"/>
      <c r="K67" s="145"/>
      <c r="L67" s="145"/>
      <c r="M67" s="145"/>
      <c r="N67" s="145"/>
      <c r="O67" s="145"/>
      <c r="P67" s="145"/>
      <c r="Q67" s="145"/>
      <c r="R67" s="145"/>
      <c r="S67" s="145" t="s">
        <v>171</v>
      </c>
      <c r="T67" s="145"/>
      <c r="U67" s="145"/>
      <c r="V67" s="145"/>
      <c r="W67" s="101">
        <f>SUM(W16:W66)/38</f>
        <v>21.219210526315791</v>
      </c>
      <c r="X67" s="101">
        <f>SUM(X16:X66)/38</f>
        <v>61227.570185055636</v>
      </c>
      <c r="Y67" s="101">
        <f>SUM(Y16:Y66)/38</f>
        <v>57119.11473097495</v>
      </c>
      <c r="Z67" s="101">
        <f>SUM(Z16:Z66)/38</f>
        <v>2.2144131578947368</v>
      </c>
      <c r="AA67" s="101"/>
      <c r="AB67" s="101">
        <f>SUM(AB11:AB66)/56</f>
        <v>0</v>
      </c>
      <c r="AC67" s="101">
        <f t="shared" ref="AC67" si="18">SUM(AC11:AC66)/56</f>
        <v>0</v>
      </c>
      <c r="AD67" s="102"/>
      <c r="AE67" s="44"/>
      <c r="AF67" s="45"/>
      <c r="AG67" s="46">
        <f>COUNTIF(AG56:AG66,"√")</f>
        <v>0</v>
      </c>
      <c r="AH67" s="46">
        <f>COUNTIF(AH56:AH66,"√")</f>
        <v>7</v>
      </c>
      <c r="AI67" s="46">
        <f>COUNTIF(AI56:AI66,"√")</f>
        <v>7</v>
      </c>
      <c r="AJ67" s="46">
        <f>COUNTIF(AG56:AG66,"X")</f>
        <v>7</v>
      </c>
      <c r="AK67" s="46">
        <f>AJ67-AH67</f>
        <v>0</v>
      </c>
      <c r="AL67" s="46">
        <f>AJ67-AI67</f>
        <v>0</v>
      </c>
      <c r="AM67" s="47">
        <v>0</v>
      </c>
      <c r="AN67" s="48">
        <f>AN63+AN57+AN54+AN50+AN44+AN40+AN33+AN26+AN23+AN21+AN17+AN15</f>
        <v>19745261158</v>
      </c>
      <c r="AO67" s="49">
        <f>AO63+AO57+AO54+AO50+AO44+AO40+AO33+AO26+AO23+AO21+AO17+AO15</f>
        <v>22417541186</v>
      </c>
      <c r="AP67" s="49"/>
      <c r="AQ67" s="49"/>
      <c r="AR67" s="9"/>
      <c r="AS67" s="50"/>
      <c r="AT67" s="51"/>
      <c r="AU67" s="51"/>
      <c r="AV67" s="52"/>
      <c r="AW67" s="50"/>
      <c r="AY67" s="161"/>
      <c r="AZ67" s="161"/>
      <c r="BA67" s="158"/>
      <c r="BB67" s="195"/>
      <c r="BC67" s="53"/>
      <c r="BD67" s="53"/>
      <c r="BE67" s="53"/>
      <c r="BF67" s="53"/>
      <c r="BG67" s="53"/>
      <c r="BH67" s="53"/>
      <c r="BI67" s="53"/>
      <c r="BJ67" s="53"/>
      <c r="BK67" s="53"/>
      <c r="BL67" s="53"/>
      <c r="BM67" s="53"/>
      <c r="BN67" s="53"/>
      <c r="BO67" s="53"/>
      <c r="BP67" s="53"/>
      <c r="BQ67" s="53"/>
      <c r="BR67" s="53"/>
      <c r="BS67" s="53"/>
      <c r="BT67" s="53"/>
      <c r="BU67" s="53"/>
      <c r="BV67" s="53"/>
      <c r="BW67" s="53"/>
      <c r="BX67" s="53"/>
      <c r="BY67" s="53"/>
      <c r="BZ67" s="53"/>
      <c r="CA67" s="53"/>
      <c r="CB67" s="53"/>
      <c r="CC67" s="53"/>
      <c r="CD67" s="53"/>
      <c r="CE67" s="53"/>
      <c r="CF67" s="53"/>
      <c r="CG67" s="53"/>
      <c r="CH67" s="53"/>
      <c r="CI67" s="53"/>
      <c r="CJ67" s="53"/>
      <c r="CK67" s="53"/>
      <c r="CL67" s="53"/>
      <c r="CM67" s="53"/>
      <c r="CN67" s="53"/>
      <c r="CO67" s="53"/>
      <c r="CP67" s="53"/>
      <c r="CQ67" s="53"/>
      <c r="CR67" s="53"/>
      <c r="CS67" s="54"/>
    </row>
    <row r="68" spans="1:97" ht="15.75" x14ac:dyDescent="0.25">
      <c r="A68" s="145"/>
      <c r="B68" s="145"/>
      <c r="C68" s="145"/>
      <c r="D68" s="145"/>
      <c r="E68" s="145"/>
      <c r="F68" s="145"/>
      <c r="G68" s="145"/>
      <c r="H68" s="145"/>
      <c r="I68" s="145"/>
      <c r="J68" s="145"/>
      <c r="K68" s="145"/>
      <c r="L68" s="145"/>
      <c r="M68" s="145"/>
      <c r="N68" s="145"/>
      <c r="O68" s="145"/>
      <c r="P68" s="145"/>
      <c r="Q68" s="145"/>
      <c r="R68" s="145"/>
      <c r="S68" s="145" t="s">
        <v>172</v>
      </c>
      <c r="T68" s="145"/>
      <c r="U68" s="145"/>
      <c r="V68" s="145"/>
      <c r="W68" s="103" t="str">
        <f>IF(W67&gt;=91,"ST",IF(W67&gt;=76,"T",IF(W67&gt;=66,"S",IF(W67&gt;=51,"R","SR"))))</f>
        <v>SR</v>
      </c>
      <c r="X68" s="103" t="str">
        <f>IF(X67&gt;=91,"ST",IF(X67&gt;=76,"T",IF(X67&gt;=66,"S",IF(X67&gt;=51,"R","SR"))))</f>
        <v>ST</v>
      </c>
      <c r="Y68" s="103" t="str">
        <f>IF(Y67&gt;=91,"ST",IF(Y67&gt;=76,"T",IF(Y67&gt;=66,"S",IF(Y67&gt;=51,"R","SR"))))</f>
        <v>ST</v>
      </c>
      <c r="Z68" s="103" t="str">
        <f>IF(Z67&gt;=91,"ST",IF(Z67&gt;=76,"T",IF(Z67&gt;=66,"S",IF(Z67&gt;=51,"R","SR"))))</f>
        <v>SR</v>
      </c>
      <c r="AA68" s="104"/>
      <c r="AB68" s="103" t="str">
        <f>IF(AB67&gt;=91,"ST",IF(AB67&gt;=76,"T",IF(AB67&gt;=66,"S",IF(AB67&gt;=51,"R","SR"))))</f>
        <v>SR</v>
      </c>
      <c r="AC68" s="103" t="str">
        <f>IF(AC67&gt;=91,"ST",IF(AC67&gt;=76,"T",IF(AC67&gt;=66,"S",IF(AC67&gt;=51,"R","SR"))))</f>
        <v>SR</v>
      </c>
      <c r="AD68" s="102"/>
      <c r="AE68" s="55"/>
      <c r="AF68" s="13"/>
      <c r="AG68" s="56"/>
      <c r="AH68" s="56"/>
      <c r="AI68" s="56"/>
      <c r="AJ68" s="56"/>
      <c r="AK68" s="56"/>
      <c r="AL68" s="56"/>
      <c r="AM68" s="56"/>
      <c r="AN68" s="57"/>
      <c r="AP68" s="58"/>
      <c r="AQ68" s="58"/>
      <c r="AR68" s="9"/>
      <c r="AS68" s="20"/>
      <c r="AT68" s="21"/>
      <c r="AU68" s="21"/>
      <c r="AV68" s="22"/>
      <c r="AW68" s="59"/>
      <c r="AY68" s="161"/>
      <c r="AZ68" s="161"/>
      <c r="BA68" s="158"/>
      <c r="BB68" s="196"/>
      <c r="BC68" s="60"/>
      <c r="BD68" s="60"/>
      <c r="BE68" s="60"/>
      <c r="BF68" s="60"/>
      <c r="BG68" s="60"/>
      <c r="BH68" s="60"/>
      <c r="BI68" s="60"/>
      <c r="BJ68" s="60"/>
      <c r="BK68" s="60"/>
      <c r="BL68" s="60"/>
      <c r="BM68" s="60"/>
      <c r="BN68" s="60"/>
      <c r="BO68" s="60"/>
      <c r="BP68" s="60"/>
      <c r="BQ68" s="60"/>
      <c r="BR68" s="60"/>
      <c r="BS68" s="60"/>
      <c r="BT68" s="60"/>
      <c r="BU68" s="60"/>
      <c r="BV68" s="60"/>
      <c r="BW68" s="60"/>
      <c r="BX68" s="60"/>
      <c r="BY68" s="60"/>
      <c r="BZ68" s="60"/>
      <c r="CA68" s="60"/>
      <c r="CB68" s="60"/>
      <c r="CC68" s="60"/>
      <c r="CD68" s="60"/>
      <c r="CE68" s="60"/>
      <c r="CF68" s="60"/>
      <c r="CG68" s="60"/>
      <c r="CH68" s="60"/>
      <c r="CI68" s="60"/>
      <c r="CJ68" s="60"/>
      <c r="CK68" s="60"/>
      <c r="CL68" s="60"/>
      <c r="CM68" s="60"/>
      <c r="CN68" s="60"/>
      <c r="CO68" s="60"/>
      <c r="CP68" s="60"/>
      <c r="CQ68" s="60"/>
      <c r="CR68" s="60"/>
      <c r="CS68" s="61"/>
    </row>
    <row r="69" spans="1:97" ht="112.5" x14ac:dyDescent="0.25">
      <c r="A69" s="130"/>
      <c r="B69" s="138" t="s">
        <v>173</v>
      </c>
      <c r="C69" s="132" t="s">
        <v>174</v>
      </c>
      <c r="D69" s="133" t="s">
        <v>175</v>
      </c>
      <c r="E69" s="134"/>
      <c r="F69" s="135"/>
      <c r="G69" s="135"/>
      <c r="H69" s="135"/>
      <c r="I69" s="135"/>
      <c r="J69" s="103"/>
      <c r="K69" s="136"/>
      <c r="L69" s="137"/>
      <c r="M69" s="126"/>
      <c r="N69" s="127"/>
      <c r="O69" s="126"/>
      <c r="P69" s="127"/>
      <c r="Q69" s="126"/>
      <c r="R69" s="127"/>
      <c r="S69" s="126"/>
      <c r="T69" s="127"/>
      <c r="U69" s="126"/>
      <c r="V69" s="127"/>
      <c r="W69" s="126"/>
      <c r="X69" s="126"/>
      <c r="Y69" s="126"/>
      <c r="Z69" s="126"/>
      <c r="AA69" s="128"/>
      <c r="AB69" s="126"/>
      <c r="AC69" s="126"/>
      <c r="AD69" s="129" t="s">
        <v>2</v>
      </c>
      <c r="AE69" s="1" t="s">
        <v>3</v>
      </c>
      <c r="AF69" s="13"/>
      <c r="AG69" s="14" t="s">
        <v>4</v>
      </c>
      <c r="AH69" s="14" t="str">
        <f>IF(AN69&gt;=1,"√",IF(AN69&gt;=0,"X",))</f>
        <v>X</v>
      </c>
      <c r="AI69" s="14" t="str">
        <f>IF(AO69&gt;=1,"√",IF(AO69&gt;=0,"X",))</f>
        <v>X</v>
      </c>
      <c r="AJ69" s="15"/>
      <c r="AK69" s="16"/>
      <c r="AL69" s="16"/>
      <c r="AM69" s="15"/>
      <c r="AN69" s="36"/>
      <c r="AO69" s="18"/>
      <c r="AP69" s="19"/>
      <c r="AQ69" s="19"/>
      <c r="AR69" s="9"/>
      <c r="AS69" s="34"/>
      <c r="AT69" s="35"/>
      <c r="AU69" s="35"/>
      <c r="AV69" s="9"/>
      <c r="AY69" s="162"/>
      <c r="AZ69" s="162"/>
      <c r="BA69" s="158"/>
    </row>
    <row r="70" spans="1:97" ht="45" x14ac:dyDescent="0.25">
      <c r="A70" s="130"/>
      <c r="B70" s="131" t="s">
        <v>176</v>
      </c>
      <c r="C70" s="132" t="s">
        <v>177</v>
      </c>
      <c r="D70" s="133" t="s">
        <v>178</v>
      </c>
      <c r="E70" s="134"/>
      <c r="F70" s="135"/>
      <c r="G70" s="135"/>
      <c r="H70" s="135"/>
      <c r="I70" s="135"/>
      <c r="J70" s="103"/>
      <c r="K70" s="136"/>
      <c r="L70" s="137"/>
      <c r="M70" s="126"/>
      <c r="N70" s="127"/>
      <c r="O70" s="126"/>
      <c r="P70" s="127"/>
      <c r="Q70" s="126"/>
      <c r="R70" s="127"/>
      <c r="S70" s="126"/>
      <c r="T70" s="127"/>
      <c r="U70" s="126"/>
      <c r="V70" s="127"/>
      <c r="W70" s="126"/>
      <c r="X70" s="126"/>
      <c r="Y70" s="126"/>
      <c r="Z70" s="126"/>
      <c r="AA70" s="128"/>
      <c r="AB70" s="126"/>
      <c r="AC70" s="126"/>
      <c r="AD70" s="129" t="s">
        <v>2</v>
      </c>
      <c r="AE70" s="1" t="s">
        <v>3</v>
      </c>
      <c r="AF70" s="13"/>
      <c r="AG70" s="14" t="s">
        <v>4</v>
      </c>
      <c r="AH70" s="14" t="str">
        <f>IF(AN70&gt;=1,"√",IF(AN70&gt;=0,"X",))</f>
        <v>√</v>
      </c>
      <c r="AI70" s="14" t="str">
        <f>IF(AO70&gt;=1,"√",IF(AO70&gt;=0,"X",))</f>
        <v>√</v>
      </c>
      <c r="AJ70" s="15"/>
      <c r="AK70" s="16"/>
      <c r="AL70" s="16"/>
      <c r="AM70" s="15"/>
      <c r="AN70" s="36">
        <f>SUM(AN71:AN73)</f>
        <v>398273650</v>
      </c>
      <c r="AO70" s="18">
        <f>SUM(AO71:AO73)</f>
        <v>290280400</v>
      </c>
      <c r="AP70" s="19"/>
      <c r="AQ70" s="19"/>
      <c r="AR70" s="9"/>
      <c r="AS70" s="34"/>
      <c r="AT70" s="35"/>
      <c r="AU70" s="35"/>
      <c r="AV70" s="9"/>
      <c r="AY70" s="160"/>
      <c r="AZ70" s="160"/>
      <c r="BA70" s="158"/>
    </row>
    <row r="71" spans="1:97" ht="22.5" x14ac:dyDescent="0.25">
      <c r="A71" s="117"/>
      <c r="B71" s="118" t="s">
        <v>179</v>
      </c>
      <c r="C71" s="119" t="s">
        <v>180</v>
      </c>
      <c r="D71" s="120" t="s">
        <v>181</v>
      </c>
      <c r="E71" s="121" t="s">
        <v>18</v>
      </c>
      <c r="F71" s="122"/>
      <c r="G71" s="122"/>
      <c r="H71" s="122"/>
      <c r="I71" s="122"/>
      <c r="J71" s="123">
        <v>1</v>
      </c>
      <c r="K71" s="144">
        <f>73519100*0.001</f>
        <v>73519.100000000006</v>
      </c>
      <c r="L71" s="125">
        <f>AO71*0.001</f>
        <v>34000</v>
      </c>
      <c r="M71" s="126">
        <f>20%*J71</f>
        <v>0.2</v>
      </c>
      <c r="N71" s="127">
        <f>6040000*0.001</f>
        <v>6040</v>
      </c>
      <c r="O71" s="126">
        <v>0</v>
      </c>
      <c r="P71" s="175">
        <v>4040000</v>
      </c>
      <c r="Q71" s="126">
        <v>0</v>
      </c>
      <c r="R71" s="175">
        <v>17230700</v>
      </c>
      <c r="S71" s="126">
        <v>0</v>
      </c>
      <c r="T71" s="127">
        <v>0</v>
      </c>
      <c r="U71" s="126">
        <f t="shared" ref="U71:U81" si="19">SUM(M71+O71+Q71+S71)</f>
        <v>0.2</v>
      </c>
      <c r="V71" s="127">
        <f t="shared" ref="V71:V81" si="20">SUM(N71+P71+R71+T71)</f>
        <v>21276740</v>
      </c>
      <c r="W71" s="126">
        <f t="shared" ref="W71:W81" si="21">IFERROR(SUM(U71/J71*100),0)</f>
        <v>20</v>
      </c>
      <c r="X71" s="126">
        <f t="shared" ref="X71:X81" si="22">IFERROR(SUM(V71/K71*100),0)</f>
        <v>28940.425005202731</v>
      </c>
      <c r="Y71" s="126">
        <f t="shared" ref="Y71:Y81" si="23">IFERROR(SUM(V71/L71*100),0)</f>
        <v>62578.647058823524</v>
      </c>
      <c r="Z71" s="126">
        <f t="shared" ref="Z71:Z81" si="24">IFERROR(SUM(H71+U71),0)</f>
        <v>0.2</v>
      </c>
      <c r="AA71" s="128">
        <f t="shared" ref="AA71:AA81" si="25">I71+V71</f>
        <v>21276740</v>
      </c>
      <c r="AB71" s="126">
        <f t="shared" ref="AB71:AB81" si="26">IFERROR(SUM(Z71/F71*100),0)</f>
        <v>0</v>
      </c>
      <c r="AC71" s="126">
        <f t="shared" ref="AC71:AC81" si="27">IFERROR(SUM(AA71/G71*100),0)</f>
        <v>0</v>
      </c>
      <c r="AD71" s="129" t="s">
        <v>2</v>
      </c>
      <c r="AE71" s="62"/>
      <c r="AF71" s="2"/>
      <c r="AG71" s="3"/>
      <c r="AH71" s="3"/>
      <c r="AI71" s="3"/>
      <c r="AJ71" s="4"/>
      <c r="AK71" s="5"/>
      <c r="AL71" s="5"/>
      <c r="AM71" s="4"/>
      <c r="AN71" s="43">
        <v>73519100</v>
      </c>
      <c r="AO71" s="29">
        <v>34000000</v>
      </c>
      <c r="AP71" s="8"/>
      <c r="AQ71" s="8"/>
      <c r="AR71" s="42"/>
      <c r="AS71" s="40"/>
      <c r="AT71" s="41"/>
      <c r="AU71" s="41"/>
      <c r="AV71" s="42"/>
      <c r="AY71" s="162">
        <v>6040000</v>
      </c>
      <c r="AZ71" s="160">
        <v>10080000</v>
      </c>
      <c r="BA71" s="158">
        <f>AZ71-AY71</f>
        <v>4040000</v>
      </c>
      <c r="BB71" s="193">
        <v>21270700</v>
      </c>
      <c r="BC71" s="221">
        <f>BB71-BA71</f>
        <v>17230700</v>
      </c>
    </row>
    <row r="72" spans="1:97" ht="22.5" x14ac:dyDescent="0.25">
      <c r="A72" s="117"/>
      <c r="B72" s="118" t="s">
        <v>182</v>
      </c>
      <c r="C72" s="119" t="s">
        <v>183</v>
      </c>
      <c r="D72" s="120" t="s">
        <v>184</v>
      </c>
      <c r="E72" s="121" t="s">
        <v>18</v>
      </c>
      <c r="F72" s="122"/>
      <c r="G72" s="122"/>
      <c r="H72" s="122"/>
      <c r="I72" s="122"/>
      <c r="J72" s="123">
        <v>1</v>
      </c>
      <c r="K72" s="124">
        <f>AN72*0.001</f>
        <v>110256.35</v>
      </c>
      <c r="L72" s="125">
        <f>AO72*0.001</f>
        <v>112000</v>
      </c>
      <c r="M72" s="126">
        <f>12%*J72</f>
        <v>0.12</v>
      </c>
      <c r="N72" s="127">
        <f>13245750*0.001</f>
        <v>13245.75</v>
      </c>
      <c r="O72" s="126">
        <v>0</v>
      </c>
      <c r="P72" s="175">
        <v>24298400</v>
      </c>
      <c r="Q72" s="126">
        <v>0</v>
      </c>
      <c r="R72" s="175">
        <v>52700915</v>
      </c>
      <c r="S72" s="126">
        <v>0</v>
      </c>
      <c r="T72" s="127">
        <v>0</v>
      </c>
      <c r="U72" s="126">
        <f t="shared" si="19"/>
        <v>0.12</v>
      </c>
      <c r="V72" s="127">
        <f t="shared" si="20"/>
        <v>77012560.75</v>
      </c>
      <c r="W72" s="126">
        <f t="shared" si="21"/>
        <v>12</v>
      </c>
      <c r="X72" s="126">
        <f t="shared" si="22"/>
        <v>69848.639783558945</v>
      </c>
      <c r="Y72" s="126">
        <f t="shared" si="23"/>
        <v>68761.214955357136</v>
      </c>
      <c r="Z72" s="126">
        <f t="shared" si="24"/>
        <v>0.12</v>
      </c>
      <c r="AA72" s="128">
        <f t="shared" si="25"/>
        <v>77012560.75</v>
      </c>
      <c r="AB72" s="126">
        <f t="shared" si="26"/>
        <v>0</v>
      </c>
      <c r="AC72" s="126">
        <f t="shared" si="27"/>
        <v>0</v>
      </c>
      <c r="AD72" s="129" t="s">
        <v>2</v>
      </c>
      <c r="AE72" s="1" t="s">
        <v>3</v>
      </c>
      <c r="AF72" s="2"/>
      <c r="AG72" s="4"/>
      <c r="AH72" s="4"/>
      <c r="AI72" s="4"/>
      <c r="AJ72" s="4"/>
      <c r="AK72" s="5"/>
      <c r="AL72" s="5"/>
      <c r="AM72" s="4"/>
      <c r="AN72" s="39">
        <v>110256350</v>
      </c>
      <c r="AO72" s="63">
        <v>112000000</v>
      </c>
      <c r="AP72" s="8"/>
      <c r="AQ72" s="8"/>
      <c r="AR72" s="42"/>
      <c r="AS72" s="40"/>
      <c r="AT72" s="41"/>
      <c r="AU72" s="41"/>
      <c r="AV72" s="42"/>
      <c r="AY72" s="160">
        <v>13245750</v>
      </c>
      <c r="AZ72" s="161">
        <v>37544150</v>
      </c>
      <c r="BA72" s="158">
        <f>AZ72-AY72</f>
        <v>24298400</v>
      </c>
      <c r="BB72" s="193">
        <v>76999315</v>
      </c>
      <c r="BC72" s="221">
        <f>BB72-BA72</f>
        <v>52700915</v>
      </c>
    </row>
    <row r="73" spans="1:97" ht="22.5" x14ac:dyDescent="0.25">
      <c r="A73" s="117"/>
      <c r="B73" s="118" t="s">
        <v>185</v>
      </c>
      <c r="C73" s="119" t="s">
        <v>186</v>
      </c>
      <c r="D73" s="120" t="s">
        <v>187</v>
      </c>
      <c r="E73" s="121" t="s">
        <v>18</v>
      </c>
      <c r="F73" s="142"/>
      <c r="G73" s="142"/>
      <c r="H73" s="142"/>
      <c r="I73" s="142"/>
      <c r="J73" s="143">
        <v>1</v>
      </c>
      <c r="K73" s="124">
        <f>AN73*0.001</f>
        <v>214498.2</v>
      </c>
      <c r="L73" s="125">
        <f>AO73*0.001</f>
        <v>144280.4</v>
      </c>
      <c r="M73" s="126">
        <f>5%*J73</f>
        <v>0.05</v>
      </c>
      <c r="N73" s="127">
        <f>6673900*0.001</f>
        <v>6673.9000000000005</v>
      </c>
      <c r="O73" s="126">
        <v>0</v>
      </c>
      <c r="P73" s="175">
        <v>76867500</v>
      </c>
      <c r="Q73" s="126">
        <v>0</v>
      </c>
      <c r="R73" s="175">
        <v>35162275</v>
      </c>
      <c r="S73" s="126">
        <v>0</v>
      </c>
      <c r="T73" s="127">
        <v>0</v>
      </c>
      <c r="U73" s="126">
        <f t="shared" si="19"/>
        <v>0.05</v>
      </c>
      <c r="V73" s="127">
        <f t="shared" si="20"/>
        <v>112036448.90000001</v>
      </c>
      <c r="W73" s="126">
        <f t="shared" si="21"/>
        <v>5</v>
      </c>
      <c r="X73" s="126">
        <f t="shared" si="22"/>
        <v>52231.883018132554</v>
      </c>
      <c r="Y73" s="126">
        <f t="shared" si="23"/>
        <v>77651.884039689394</v>
      </c>
      <c r="Z73" s="126">
        <f t="shared" si="24"/>
        <v>0.05</v>
      </c>
      <c r="AA73" s="128">
        <f t="shared" si="25"/>
        <v>112036448.90000001</v>
      </c>
      <c r="AB73" s="126">
        <f t="shared" si="26"/>
        <v>0</v>
      </c>
      <c r="AC73" s="126">
        <f t="shared" si="27"/>
        <v>0</v>
      </c>
      <c r="AD73" s="129" t="s">
        <v>2</v>
      </c>
      <c r="AE73" s="1" t="s">
        <v>3</v>
      </c>
      <c r="AF73" s="2"/>
      <c r="AG73" s="4"/>
      <c r="AH73" s="4"/>
      <c r="AI73" s="4"/>
      <c r="AJ73" s="4"/>
      <c r="AK73" s="5"/>
      <c r="AL73" s="5"/>
      <c r="AM73" s="4"/>
      <c r="AN73" s="39">
        <v>214498200</v>
      </c>
      <c r="AO73" s="7">
        <v>144280400</v>
      </c>
      <c r="AP73" s="8"/>
      <c r="AQ73" s="8"/>
      <c r="AR73" s="42"/>
      <c r="AS73" s="40"/>
      <c r="AT73" s="41"/>
      <c r="AU73" s="41"/>
      <c r="AV73" s="42"/>
      <c r="AY73" s="160">
        <v>6673900</v>
      </c>
      <c r="AZ73" s="162">
        <v>83541400</v>
      </c>
      <c r="BA73" s="158">
        <f>AZ73-AY73</f>
        <v>76867500</v>
      </c>
      <c r="BB73" s="193">
        <v>112029775</v>
      </c>
      <c r="BC73" s="221">
        <f>BB73-BA73</f>
        <v>35162275</v>
      </c>
    </row>
    <row r="74" spans="1:97" ht="45" x14ac:dyDescent="0.25">
      <c r="A74" s="130"/>
      <c r="B74" s="131" t="s">
        <v>188</v>
      </c>
      <c r="C74" s="132" t="s">
        <v>189</v>
      </c>
      <c r="D74" s="133" t="s">
        <v>190</v>
      </c>
      <c r="E74" s="134"/>
      <c r="F74" s="135"/>
      <c r="G74" s="135"/>
      <c r="H74" s="135"/>
      <c r="I74" s="135"/>
      <c r="J74" s="103"/>
      <c r="K74" s="141"/>
      <c r="L74" s="137"/>
      <c r="M74" s="126"/>
      <c r="N74" s="127"/>
      <c r="O74" s="126"/>
      <c r="P74" s="127"/>
      <c r="Q74" s="126"/>
      <c r="R74" s="127"/>
      <c r="S74" s="126"/>
      <c r="T74" s="127"/>
      <c r="U74" s="126"/>
      <c r="V74" s="127"/>
      <c r="W74" s="126"/>
      <c r="X74" s="126"/>
      <c r="Y74" s="126"/>
      <c r="Z74" s="126"/>
      <c r="AA74" s="128"/>
      <c r="AB74" s="126"/>
      <c r="AC74" s="126"/>
      <c r="AD74" s="129" t="s">
        <v>2</v>
      </c>
      <c r="AE74" s="1"/>
      <c r="AF74" s="13"/>
      <c r="AG74" s="14"/>
      <c r="AH74" s="14"/>
      <c r="AI74" s="14"/>
      <c r="AJ74" s="15"/>
      <c r="AK74" s="16"/>
      <c r="AL74" s="16"/>
      <c r="AM74" s="15"/>
      <c r="AN74" s="24">
        <f>SUM(AN75:AN77)</f>
        <v>1662909750</v>
      </c>
      <c r="AO74" s="23">
        <f>SUM(AO75:AO77)</f>
        <v>2621264025</v>
      </c>
      <c r="AP74" s="19"/>
      <c r="AQ74" s="19"/>
      <c r="AR74" s="9"/>
      <c r="AS74" s="34"/>
      <c r="AT74" s="35"/>
      <c r="AU74" s="35"/>
      <c r="AV74" s="9"/>
      <c r="AY74" s="160"/>
      <c r="AZ74" s="160"/>
      <c r="BA74" s="158"/>
    </row>
    <row r="75" spans="1:97" ht="22.5" x14ac:dyDescent="0.25">
      <c r="A75" s="117"/>
      <c r="B75" s="118" t="s">
        <v>191</v>
      </c>
      <c r="C75" s="119" t="s">
        <v>192</v>
      </c>
      <c r="D75" s="120" t="s">
        <v>193</v>
      </c>
      <c r="E75" s="121" t="s">
        <v>18</v>
      </c>
      <c r="F75" s="122"/>
      <c r="G75" s="122"/>
      <c r="H75" s="122"/>
      <c r="I75" s="122"/>
      <c r="J75" s="123">
        <v>1</v>
      </c>
      <c r="K75" s="124">
        <f>AN75*0.001</f>
        <v>1570311.75</v>
      </c>
      <c r="L75" s="125">
        <f>AO75*0.001</f>
        <v>2091764.0250000001</v>
      </c>
      <c r="M75" s="126">
        <f>10%*J75</f>
        <v>0.1</v>
      </c>
      <c r="N75" s="127">
        <f>193429000*0.001</f>
        <v>193429</v>
      </c>
      <c r="O75" s="126">
        <v>0</v>
      </c>
      <c r="P75" s="175">
        <v>1016560387</v>
      </c>
      <c r="Q75" s="126">
        <v>0</v>
      </c>
      <c r="R75" s="175">
        <v>579968843</v>
      </c>
      <c r="S75" s="126">
        <v>0</v>
      </c>
      <c r="T75" s="127">
        <v>0</v>
      </c>
      <c r="U75" s="126">
        <f t="shared" si="19"/>
        <v>0.1</v>
      </c>
      <c r="V75" s="127">
        <f t="shared" si="20"/>
        <v>1596722659</v>
      </c>
      <c r="W75" s="126">
        <f t="shared" si="21"/>
        <v>10</v>
      </c>
      <c r="X75" s="126">
        <f t="shared" si="22"/>
        <v>101681.88953562883</v>
      </c>
      <c r="Y75" s="126">
        <f t="shared" si="23"/>
        <v>76333.785260505174</v>
      </c>
      <c r="Z75" s="126">
        <f t="shared" si="24"/>
        <v>0.1</v>
      </c>
      <c r="AA75" s="128">
        <f t="shared" si="25"/>
        <v>1596722659</v>
      </c>
      <c r="AB75" s="126">
        <f t="shared" si="26"/>
        <v>0</v>
      </c>
      <c r="AC75" s="126">
        <f t="shared" si="27"/>
        <v>0</v>
      </c>
      <c r="AD75" s="129" t="s">
        <v>2</v>
      </c>
      <c r="AE75" s="1" t="s">
        <v>3</v>
      </c>
      <c r="AF75" s="2"/>
      <c r="AG75" s="3" t="s">
        <v>4</v>
      </c>
      <c r="AH75" s="3" t="str">
        <f t="shared" ref="AH75:AI77" si="28">IF(AN75&gt;=1,"√",IF(AN75&gt;=0,"X",))</f>
        <v>√</v>
      </c>
      <c r="AI75" s="3" t="str">
        <f t="shared" si="28"/>
        <v>√</v>
      </c>
      <c r="AJ75" s="4"/>
      <c r="AK75" s="5"/>
      <c r="AL75" s="5"/>
      <c r="AM75" s="4"/>
      <c r="AN75" s="39">
        <v>1570311750</v>
      </c>
      <c r="AO75" s="7">
        <v>2091764025</v>
      </c>
      <c r="AP75" s="8"/>
      <c r="AQ75" s="8"/>
      <c r="AR75" s="42"/>
      <c r="AS75" s="40"/>
      <c r="AT75" s="41"/>
      <c r="AU75" s="41"/>
      <c r="AV75" s="42"/>
      <c r="AY75" s="162">
        <v>193429000</v>
      </c>
      <c r="AZ75" s="160">
        <v>1209989387</v>
      </c>
      <c r="BA75" s="158">
        <f>AZ75-AY75</f>
        <v>1016560387</v>
      </c>
      <c r="BB75" s="193">
        <v>1596529230</v>
      </c>
      <c r="BC75" s="221">
        <f>BB75-BA75</f>
        <v>579968843</v>
      </c>
    </row>
    <row r="76" spans="1:97" ht="78.75" x14ac:dyDescent="0.25">
      <c r="A76" s="117"/>
      <c r="B76" s="118" t="s">
        <v>194</v>
      </c>
      <c r="C76" s="119" t="s">
        <v>195</v>
      </c>
      <c r="D76" s="120" t="s">
        <v>196</v>
      </c>
      <c r="E76" s="121"/>
      <c r="F76" s="122"/>
      <c r="G76" s="122"/>
      <c r="H76" s="122"/>
      <c r="I76" s="122"/>
      <c r="J76" s="123">
        <v>1</v>
      </c>
      <c r="K76" s="124">
        <f>AN76*0.001</f>
        <v>51916.700000000004</v>
      </c>
      <c r="L76" s="125">
        <f>AO76*0.001</f>
        <v>147380</v>
      </c>
      <c r="M76" s="126">
        <f>4%*J76</f>
        <v>0.04</v>
      </c>
      <c r="N76" s="127">
        <f>4630000*0.001</f>
        <v>4630</v>
      </c>
      <c r="O76" s="126">
        <v>0</v>
      </c>
      <c r="P76" s="175">
        <v>39685000</v>
      </c>
      <c r="Q76" s="126">
        <v>0</v>
      </c>
      <c r="R76" s="175">
        <v>60235000</v>
      </c>
      <c r="S76" s="126">
        <v>0</v>
      </c>
      <c r="T76" s="127">
        <v>0</v>
      </c>
      <c r="U76" s="126">
        <f t="shared" si="19"/>
        <v>0.04</v>
      </c>
      <c r="V76" s="127">
        <f t="shared" si="20"/>
        <v>99924630</v>
      </c>
      <c r="W76" s="126">
        <f t="shared" si="21"/>
        <v>4</v>
      </c>
      <c r="X76" s="126">
        <f t="shared" si="22"/>
        <v>192471.07385484825</v>
      </c>
      <c r="Y76" s="126">
        <f t="shared" si="23"/>
        <v>67800.671732935269</v>
      </c>
      <c r="Z76" s="126">
        <f t="shared" si="24"/>
        <v>0.04</v>
      </c>
      <c r="AA76" s="128">
        <f t="shared" si="25"/>
        <v>99924630</v>
      </c>
      <c r="AB76" s="126">
        <f t="shared" si="26"/>
        <v>0</v>
      </c>
      <c r="AC76" s="126">
        <f t="shared" si="27"/>
        <v>0</v>
      </c>
      <c r="AD76" s="129" t="s">
        <v>2</v>
      </c>
      <c r="AE76" s="1" t="s">
        <v>3</v>
      </c>
      <c r="AF76" s="2"/>
      <c r="AG76" s="3" t="s">
        <v>4</v>
      </c>
      <c r="AH76" s="3" t="str">
        <f t="shared" si="28"/>
        <v>√</v>
      </c>
      <c r="AI76" s="3" t="str">
        <f t="shared" si="28"/>
        <v>√</v>
      </c>
      <c r="AJ76" s="4"/>
      <c r="AK76" s="5"/>
      <c r="AL76" s="5"/>
      <c r="AM76" s="4"/>
      <c r="AN76" s="39">
        <v>51916700</v>
      </c>
      <c r="AO76" s="7">
        <v>147380000</v>
      </c>
      <c r="AP76" s="8"/>
      <c r="AQ76" s="8"/>
      <c r="AR76" s="42"/>
      <c r="AS76" s="40"/>
      <c r="AT76" s="41"/>
      <c r="AU76" s="41"/>
      <c r="AV76" s="42"/>
      <c r="AY76" s="160">
        <v>4630000</v>
      </c>
      <c r="AZ76" s="161">
        <v>44315000</v>
      </c>
      <c r="BA76" s="158">
        <f>AZ76-AY76</f>
        <v>39685000</v>
      </c>
      <c r="BB76" s="193">
        <v>99920000</v>
      </c>
      <c r="BC76" s="221">
        <f>BB76-BA76</f>
        <v>60235000</v>
      </c>
    </row>
    <row r="77" spans="1:97" ht="56.25" x14ac:dyDescent="0.25">
      <c r="A77" s="117"/>
      <c r="B77" s="118" t="s">
        <v>197</v>
      </c>
      <c r="C77" s="119" t="s">
        <v>198</v>
      </c>
      <c r="D77" s="120" t="s">
        <v>199</v>
      </c>
      <c r="E77" s="121" t="s">
        <v>18</v>
      </c>
      <c r="F77" s="122"/>
      <c r="G77" s="122"/>
      <c r="H77" s="122"/>
      <c r="I77" s="122"/>
      <c r="J77" s="123">
        <v>1</v>
      </c>
      <c r="K77" s="124">
        <f>40681300*0.001</f>
        <v>40681.300000000003</v>
      </c>
      <c r="L77" s="125">
        <f>AO77*0.001</f>
        <v>382120</v>
      </c>
      <c r="M77" s="126">
        <f>1%*J77</f>
        <v>0.01</v>
      </c>
      <c r="N77" s="127">
        <f>3020000*0.001</f>
        <v>3020</v>
      </c>
      <c r="O77" s="126">
        <v>0</v>
      </c>
      <c r="P77" s="175">
        <v>2020000</v>
      </c>
      <c r="Q77" s="126">
        <v>0</v>
      </c>
      <c r="R77" s="175">
        <v>376060000</v>
      </c>
      <c r="S77" s="126">
        <v>0</v>
      </c>
      <c r="T77" s="127">
        <v>0</v>
      </c>
      <c r="U77" s="126">
        <f t="shared" si="19"/>
        <v>0.01</v>
      </c>
      <c r="V77" s="127">
        <f t="shared" si="20"/>
        <v>378083020</v>
      </c>
      <c r="W77" s="126">
        <f t="shared" si="21"/>
        <v>1</v>
      </c>
      <c r="X77" s="126">
        <f t="shared" si="22"/>
        <v>929377.92056792672</v>
      </c>
      <c r="Y77" s="126">
        <f t="shared" si="23"/>
        <v>98943.530828012139</v>
      </c>
      <c r="Z77" s="126">
        <f t="shared" si="24"/>
        <v>0.01</v>
      </c>
      <c r="AA77" s="128">
        <f t="shared" si="25"/>
        <v>378083020</v>
      </c>
      <c r="AB77" s="126">
        <f t="shared" si="26"/>
        <v>0</v>
      </c>
      <c r="AC77" s="126">
        <f t="shared" si="27"/>
        <v>0</v>
      </c>
      <c r="AD77" s="129" t="s">
        <v>2</v>
      </c>
      <c r="AE77" s="1"/>
      <c r="AF77" s="2"/>
      <c r="AG77" s="3" t="s">
        <v>4</v>
      </c>
      <c r="AH77" s="3" t="str">
        <f t="shared" si="28"/>
        <v>√</v>
      </c>
      <c r="AI77" s="3" t="str">
        <f t="shared" si="28"/>
        <v>√</v>
      </c>
      <c r="AJ77" s="4"/>
      <c r="AK77" s="5"/>
      <c r="AL77" s="5"/>
      <c r="AM77" s="4"/>
      <c r="AN77" s="39">
        <v>40681300</v>
      </c>
      <c r="AO77" s="29">
        <v>382120000</v>
      </c>
      <c r="AP77" s="8"/>
      <c r="AQ77" s="8"/>
      <c r="AR77" s="42"/>
      <c r="AS77" s="40"/>
      <c r="AT77" s="41"/>
      <c r="AU77" s="41"/>
      <c r="AV77" s="42"/>
      <c r="AY77" s="160">
        <v>3020000</v>
      </c>
      <c r="AZ77" s="162">
        <v>5040000</v>
      </c>
      <c r="BA77" s="166">
        <f>AZ77-AY77</f>
        <v>2020000</v>
      </c>
      <c r="BB77" s="193">
        <v>378080000</v>
      </c>
      <c r="BC77" s="221">
        <f>BB77-BA77</f>
        <v>376060000</v>
      </c>
    </row>
    <row r="78" spans="1:97" ht="67.5" x14ac:dyDescent="0.25">
      <c r="A78" s="130"/>
      <c r="B78" s="131" t="s">
        <v>200</v>
      </c>
      <c r="C78" s="132" t="s">
        <v>201</v>
      </c>
      <c r="D78" s="133" t="s">
        <v>202</v>
      </c>
      <c r="E78" s="134"/>
      <c r="F78" s="139"/>
      <c r="G78" s="139"/>
      <c r="H78" s="139"/>
      <c r="I78" s="139"/>
      <c r="J78" s="140"/>
      <c r="K78" s="136"/>
      <c r="L78" s="137"/>
      <c r="M78" s="126"/>
      <c r="N78" s="127"/>
      <c r="O78" s="126"/>
      <c r="P78" s="127"/>
      <c r="Q78" s="126"/>
      <c r="R78" s="127"/>
      <c r="S78" s="126"/>
      <c r="T78" s="127"/>
      <c r="U78" s="126"/>
      <c r="V78" s="127"/>
      <c r="W78" s="126"/>
      <c r="X78" s="126"/>
      <c r="Y78" s="126"/>
      <c r="Z78" s="126"/>
      <c r="AA78" s="128"/>
      <c r="AB78" s="126"/>
      <c r="AC78" s="126"/>
      <c r="AD78" s="129" t="s">
        <v>2</v>
      </c>
      <c r="AE78" s="1" t="s">
        <v>3</v>
      </c>
      <c r="AF78" s="13"/>
      <c r="AG78" s="15"/>
      <c r="AH78" s="15"/>
      <c r="AI78" s="15"/>
      <c r="AJ78" s="15"/>
      <c r="AK78" s="16"/>
      <c r="AL78" s="16"/>
      <c r="AM78" s="15"/>
      <c r="AN78" s="36">
        <f>SUM(AN79:AN81)</f>
        <v>319669750</v>
      </c>
      <c r="AO78" s="18">
        <f>SUM(AO79:AO81)</f>
        <v>271599750</v>
      </c>
      <c r="AP78" s="19"/>
      <c r="AQ78" s="19"/>
      <c r="AR78" s="9"/>
      <c r="AS78" s="34"/>
      <c r="AT78" s="35"/>
      <c r="AU78" s="35"/>
      <c r="AV78" s="9"/>
      <c r="AY78" s="160"/>
      <c r="AZ78" s="160"/>
      <c r="BA78" s="158"/>
    </row>
    <row r="79" spans="1:97" ht="22.5" x14ac:dyDescent="0.25">
      <c r="A79" s="117"/>
      <c r="B79" s="118" t="s">
        <v>203</v>
      </c>
      <c r="C79" s="119" t="s">
        <v>204</v>
      </c>
      <c r="D79" s="120" t="s">
        <v>205</v>
      </c>
      <c r="E79" s="121" t="s">
        <v>18</v>
      </c>
      <c r="F79" s="122"/>
      <c r="G79" s="122"/>
      <c r="H79" s="122"/>
      <c r="I79" s="122"/>
      <c r="J79" s="123">
        <v>1</v>
      </c>
      <c r="K79" s="124">
        <f>AN79*0.001</f>
        <v>117806.5</v>
      </c>
      <c r="L79" s="125">
        <f>AO79*0.001</f>
        <v>0</v>
      </c>
      <c r="M79" s="126">
        <v>0</v>
      </c>
      <c r="N79" s="127">
        <v>0</v>
      </c>
      <c r="O79" s="126">
        <v>0</v>
      </c>
      <c r="P79" s="127">
        <v>0</v>
      </c>
      <c r="Q79" s="126">
        <v>0</v>
      </c>
      <c r="R79" s="127">
        <v>0</v>
      </c>
      <c r="S79" s="126">
        <v>0</v>
      </c>
      <c r="T79" s="127">
        <v>0</v>
      </c>
      <c r="U79" s="126">
        <f t="shared" si="19"/>
        <v>0</v>
      </c>
      <c r="V79" s="127">
        <f t="shared" si="20"/>
        <v>0</v>
      </c>
      <c r="W79" s="126">
        <f t="shared" si="21"/>
        <v>0</v>
      </c>
      <c r="X79" s="126">
        <f t="shared" si="22"/>
        <v>0</v>
      </c>
      <c r="Y79" s="126">
        <f t="shared" si="23"/>
        <v>0</v>
      </c>
      <c r="Z79" s="126">
        <f t="shared" si="24"/>
        <v>0</v>
      </c>
      <c r="AA79" s="128">
        <f t="shared" si="25"/>
        <v>0</v>
      </c>
      <c r="AB79" s="126">
        <f t="shared" si="26"/>
        <v>0</v>
      </c>
      <c r="AC79" s="126">
        <f t="shared" si="27"/>
        <v>0</v>
      </c>
      <c r="AD79" s="129" t="s">
        <v>2</v>
      </c>
      <c r="AE79" s="1" t="s">
        <v>3</v>
      </c>
      <c r="AF79" s="2"/>
      <c r="AG79" s="3" t="s">
        <v>4</v>
      </c>
      <c r="AH79" s="3" t="str">
        <f>IF(AN79&gt;=1,"√",IF(AN79&gt;=0,"X",))</f>
        <v>√</v>
      </c>
      <c r="AI79" s="3" t="str">
        <f>IF(AO79&gt;=1,"√",IF(AO79&gt;=0,"X",))</f>
        <v>X</v>
      </c>
      <c r="AJ79" s="4"/>
      <c r="AK79" s="5"/>
      <c r="AL79" s="5"/>
      <c r="AM79" s="4"/>
      <c r="AN79" s="39">
        <v>117806500</v>
      </c>
      <c r="AO79" s="7">
        <v>0</v>
      </c>
      <c r="AP79" s="8"/>
      <c r="AQ79" s="8"/>
      <c r="AR79" s="42"/>
      <c r="AS79" s="40"/>
      <c r="AT79" s="41"/>
      <c r="AU79" s="41"/>
      <c r="AV79" s="42"/>
      <c r="AY79" s="160" t="s">
        <v>288</v>
      </c>
      <c r="AZ79" s="160"/>
      <c r="BA79" s="158"/>
    </row>
    <row r="80" spans="1:97" ht="22.5" x14ac:dyDescent="0.25">
      <c r="A80" s="117"/>
      <c r="B80" s="118" t="s">
        <v>206</v>
      </c>
      <c r="C80" s="119" t="s">
        <v>207</v>
      </c>
      <c r="D80" s="120" t="s">
        <v>208</v>
      </c>
      <c r="E80" s="121" t="s">
        <v>209</v>
      </c>
      <c r="F80" s="122"/>
      <c r="G80" s="122"/>
      <c r="H80" s="122"/>
      <c r="I80" s="122"/>
      <c r="J80" s="123">
        <v>1</v>
      </c>
      <c r="K80" s="144">
        <f>91800550*0.001</f>
        <v>91800.55</v>
      </c>
      <c r="L80" s="125">
        <f>AO80*0.001</f>
        <v>71600</v>
      </c>
      <c r="M80" s="126">
        <f>16%*J80</f>
        <v>0.16</v>
      </c>
      <c r="N80" s="127">
        <f>11155000*0.001</f>
        <v>11155</v>
      </c>
      <c r="O80" s="126">
        <v>0</v>
      </c>
      <c r="P80" s="175">
        <v>17650000</v>
      </c>
      <c r="Q80" s="126">
        <v>0</v>
      </c>
      <c r="R80" s="175">
        <v>18750000</v>
      </c>
      <c r="S80" s="126">
        <v>0</v>
      </c>
      <c r="T80" s="127">
        <v>0</v>
      </c>
      <c r="U80" s="126">
        <f t="shared" si="19"/>
        <v>0.16</v>
      </c>
      <c r="V80" s="127">
        <f t="shared" si="20"/>
        <v>36411155</v>
      </c>
      <c r="W80" s="126">
        <f t="shared" si="21"/>
        <v>16</v>
      </c>
      <c r="X80" s="126">
        <f t="shared" si="22"/>
        <v>39663.329903796868</v>
      </c>
      <c r="Y80" s="126">
        <f t="shared" si="23"/>
        <v>50853.56843575419</v>
      </c>
      <c r="Z80" s="126">
        <f t="shared" si="24"/>
        <v>0.16</v>
      </c>
      <c r="AA80" s="128">
        <f t="shared" si="25"/>
        <v>36411155</v>
      </c>
      <c r="AB80" s="126">
        <f t="shared" si="26"/>
        <v>0</v>
      </c>
      <c r="AC80" s="126">
        <f t="shared" si="27"/>
        <v>0</v>
      </c>
      <c r="AD80" s="129" t="s">
        <v>2</v>
      </c>
      <c r="AE80" s="1"/>
      <c r="AF80" s="2"/>
      <c r="AG80" s="3"/>
      <c r="AH80" s="3"/>
      <c r="AI80" s="3"/>
      <c r="AJ80" s="4"/>
      <c r="AK80" s="5"/>
      <c r="AL80" s="5"/>
      <c r="AM80" s="4"/>
      <c r="AN80" s="43">
        <v>91800550</v>
      </c>
      <c r="AO80" s="29">
        <v>71600000</v>
      </c>
      <c r="AP80" s="8"/>
      <c r="AQ80" s="8"/>
      <c r="AR80" s="42"/>
      <c r="AS80" s="40"/>
      <c r="AT80" s="41"/>
      <c r="AU80" s="41"/>
      <c r="AV80" s="42"/>
      <c r="AY80" s="160">
        <v>11155000</v>
      </c>
      <c r="AZ80" s="161">
        <v>28805000</v>
      </c>
      <c r="BA80" s="158">
        <f>AZ80-AY80</f>
        <v>17650000</v>
      </c>
      <c r="BB80" s="193">
        <v>36400000</v>
      </c>
      <c r="BC80" s="221">
        <f>BB80-BA80</f>
        <v>18750000</v>
      </c>
    </row>
    <row r="81" spans="1:97" ht="22.5" x14ac:dyDescent="0.25">
      <c r="A81" s="117"/>
      <c r="B81" s="118" t="s">
        <v>210</v>
      </c>
      <c r="C81" s="119" t="s">
        <v>211</v>
      </c>
      <c r="D81" s="120" t="s">
        <v>212</v>
      </c>
      <c r="E81" s="121" t="s">
        <v>18</v>
      </c>
      <c r="F81" s="122"/>
      <c r="G81" s="122"/>
      <c r="H81" s="122"/>
      <c r="I81" s="122"/>
      <c r="J81" s="123">
        <v>1</v>
      </c>
      <c r="K81" s="144">
        <f>110062700*0.001</f>
        <v>110062.7</v>
      </c>
      <c r="L81" s="125">
        <f>AO81*0.001</f>
        <v>199999.75</v>
      </c>
      <c r="M81" s="126">
        <f>10%*J81</f>
        <v>0.1</v>
      </c>
      <c r="N81" s="127">
        <f>19234857*0.001</f>
        <v>19234.857</v>
      </c>
      <c r="O81" s="126">
        <v>0</v>
      </c>
      <c r="P81" s="175">
        <v>59870406</v>
      </c>
      <c r="Q81" s="126">
        <v>0</v>
      </c>
      <c r="R81" s="175">
        <v>71328628</v>
      </c>
      <c r="S81" s="126">
        <v>0</v>
      </c>
      <c r="T81" s="127">
        <v>0</v>
      </c>
      <c r="U81" s="126">
        <f t="shared" si="19"/>
        <v>0.1</v>
      </c>
      <c r="V81" s="127">
        <f t="shared" si="20"/>
        <v>131218268.85699999</v>
      </c>
      <c r="W81" s="126">
        <f t="shared" si="21"/>
        <v>10</v>
      </c>
      <c r="X81" s="126">
        <f t="shared" si="22"/>
        <v>119221.37913843653</v>
      </c>
      <c r="Y81" s="126">
        <f t="shared" si="23"/>
        <v>65609.216440020537</v>
      </c>
      <c r="Z81" s="126">
        <f t="shared" si="24"/>
        <v>0.1</v>
      </c>
      <c r="AA81" s="128">
        <f t="shared" si="25"/>
        <v>131218268.85699999</v>
      </c>
      <c r="AB81" s="126">
        <f t="shared" si="26"/>
        <v>0</v>
      </c>
      <c r="AC81" s="126">
        <f t="shared" si="27"/>
        <v>0</v>
      </c>
      <c r="AD81" s="129" t="s">
        <v>2</v>
      </c>
      <c r="AE81" s="1"/>
      <c r="AF81" s="2"/>
      <c r="AG81" s="3"/>
      <c r="AH81" s="3"/>
      <c r="AI81" s="3"/>
      <c r="AJ81" s="4"/>
      <c r="AK81" s="5"/>
      <c r="AL81" s="5"/>
      <c r="AM81" s="4"/>
      <c r="AN81" s="43">
        <v>110062700</v>
      </c>
      <c r="AO81" s="29">
        <v>199999750</v>
      </c>
      <c r="AP81" s="8"/>
      <c r="AQ81" s="8"/>
      <c r="AR81" s="42"/>
      <c r="AS81" s="40"/>
      <c r="AT81" s="41"/>
      <c r="AU81" s="41"/>
      <c r="AV81" s="42"/>
      <c r="AY81" s="160">
        <v>19234857</v>
      </c>
      <c r="AZ81" s="161">
        <v>79105263</v>
      </c>
      <c r="BA81" s="158">
        <f>AZ81-AY81</f>
        <v>59870406</v>
      </c>
      <c r="BB81" s="193">
        <v>131199034</v>
      </c>
      <c r="BC81" s="221">
        <f>BB81-BA81</f>
        <v>71328628</v>
      </c>
    </row>
    <row r="82" spans="1:97" ht="15.75" x14ac:dyDescent="0.25">
      <c r="A82" s="145"/>
      <c r="B82" s="145"/>
      <c r="C82" s="145"/>
      <c r="D82" s="145"/>
      <c r="E82" s="145"/>
      <c r="F82" s="145"/>
      <c r="G82" s="145"/>
      <c r="H82" s="145"/>
      <c r="I82" s="145"/>
      <c r="J82" s="145"/>
      <c r="K82" s="145"/>
      <c r="L82" s="145"/>
      <c r="M82" s="145"/>
      <c r="N82" s="145"/>
      <c r="O82" s="145"/>
      <c r="P82" s="145"/>
      <c r="Q82" s="145"/>
      <c r="R82" s="145"/>
      <c r="S82" s="145" t="s">
        <v>171</v>
      </c>
      <c r="T82" s="145"/>
      <c r="U82" s="145"/>
      <c r="V82" s="145"/>
      <c r="W82" s="101">
        <f>SUM(W69:W81)/8</f>
        <v>9.75</v>
      </c>
      <c r="X82" s="101">
        <f>SUM(X69:X81)/8</f>
        <v>191679.56760094143</v>
      </c>
      <c r="Y82" s="101">
        <f>SUM(Y69:Y81)/8</f>
        <v>71066.564843887172</v>
      </c>
      <c r="Z82" s="101">
        <f>SUM(Z69:Z81)/8</f>
        <v>9.7500000000000003E-2</v>
      </c>
      <c r="AA82" s="101"/>
      <c r="AB82" s="101">
        <f t="shared" ref="AB82:AC82" si="29">SUM(AB69:AB81)/13</f>
        <v>0</v>
      </c>
      <c r="AC82" s="101">
        <f t="shared" si="29"/>
        <v>0</v>
      </c>
      <c r="AD82" s="102"/>
      <c r="AE82" s="44"/>
      <c r="AF82" s="45"/>
      <c r="AG82" s="46">
        <f>COUNTIF(AG71:AG81,"√")</f>
        <v>0</v>
      </c>
      <c r="AH82" s="46">
        <f>COUNTIF(AH71:AH81,"√")</f>
        <v>4</v>
      </c>
      <c r="AI82" s="46">
        <f>COUNTIF(AI71:AI81,"√")</f>
        <v>3</v>
      </c>
      <c r="AJ82" s="46">
        <f>COUNTIF(AG71:AG81,"X")</f>
        <v>4</v>
      </c>
      <c r="AK82" s="46">
        <f>AJ82-AH82</f>
        <v>0</v>
      </c>
      <c r="AL82" s="46">
        <f>AJ82-AI82</f>
        <v>1</v>
      </c>
      <c r="AM82" s="47">
        <v>0</v>
      </c>
      <c r="AN82" s="48">
        <f>AN78+AN74+AN70</f>
        <v>2380853150</v>
      </c>
      <c r="AO82" s="49">
        <f>AO78+AO74+AO70</f>
        <v>3183144175</v>
      </c>
      <c r="AP82" s="49"/>
      <c r="AQ82" s="49"/>
      <c r="AR82" s="9"/>
      <c r="AS82" s="50"/>
      <c r="AT82" s="51"/>
      <c r="AU82" s="51"/>
      <c r="AV82" s="52"/>
      <c r="AW82" s="50"/>
      <c r="AY82" s="161"/>
      <c r="AZ82" s="161"/>
      <c r="BA82" s="158"/>
      <c r="BB82" s="195"/>
      <c r="BC82" s="53"/>
      <c r="BD82" s="53"/>
      <c r="BE82" s="53"/>
      <c r="BF82" s="53"/>
      <c r="BG82" s="53"/>
      <c r="BH82" s="53"/>
      <c r="BI82" s="53"/>
      <c r="BJ82" s="53"/>
      <c r="BK82" s="53"/>
      <c r="BL82" s="53"/>
      <c r="BM82" s="53"/>
      <c r="BN82" s="53"/>
      <c r="BO82" s="53"/>
      <c r="BP82" s="53"/>
      <c r="BQ82" s="53"/>
      <c r="BR82" s="53"/>
      <c r="BS82" s="53"/>
      <c r="BT82" s="53"/>
      <c r="BU82" s="53"/>
      <c r="BV82" s="53"/>
      <c r="BW82" s="53"/>
      <c r="BX82" s="53"/>
      <c r="BY82" s="53"/>
      <c r="BZ82" s="53"/>
      <c r="CA82" s="53"/>
      <c r="CB82" s="53"/>
      <c r="CC82" s="53"/>
      <c r="CD82" s="53"/>
      <c r="CE82" s="53"/>
      <c r="CF82" s="53"/>
      <c r="CG82" s="53"/>
      <c r="CH82" s="53"/>
      <c r="CI82" s="53"/>
      <c r="CJ82" s="53"/>
      <c r="CK82" s="53"/>
      <c r="CL82" s="53"/>
      <c r="CM82" s="53"/>
      <c r="CN82" s="53"/>
      <c r="CO82" s="53"/>
      <c r="CP82" s="53"/>
      <c r="CQ82" s="53"/>
      <c r="CR82" s="53"/>
      <c r="CS82" s="54"/>
    </row>
    <row r="83" spans="1:97" ht="15.75" x14ac:dyDescent="0.25">
      <c r="A83" s="145"/>
      <c r="B83" s="145"/>
      <c r="C83" s="145"/>
      <c r="D83" s="145"/>
      <c r="E83" s="145"/>
      <c r="F83" s="145"/>
      <c r="G83" s="145"/>
      <c r="H83" s="145"/>
      <c r="I83" s="145"/>
      <c r="J83" s="145"/>
      <c r="K83" s="145"/>
      <c r="L83" s="145"/>
      <c r="M83" s="145"/>
      <c r="N83" s="145"/>
      <c r="O83" s="145"/>
      <c r="P83" s="145"/>
      <c r="Q83" s="145"/>
      <c r="R83" s="145"/>
      <c r="S83" s="145" t="s">
        <v>172</v>
      </c>
      <c r="T83" s="145"/>
      <c r="U83" s="145"/>
      <c r="V83" s="145"/>
      <c r="W83" s="103" t="str">
        <f>IF(W82&gt;=91,"ST",IF(W82&gt;=76,"T",IF(W82&gt;=66,"S",IF(W82&gt;=51,"R","SR"))))</f>
        <v>SR</v>
      </c>
      <c r="X83" s="103" t="str">
        <f>IF(X82&gt;=91,"ST",IF(X82&gt;=76,"T",IF(X82&gt;=66,"S",IF(X82&gt;=51,"R","SR"))))</f>
        <v>ST</v>
      </c>
      <c r="Y83" s="103" t="str">
        <f>IF(Y82&gt;=91,"ST",IF(Y82&gt;=76,"T",IF(Y82&gt;=66,"S",IF(Y82&gt;=51,"R","SR"))))</f>
        <v>ST</v>
      </c>
      <c r="Z83" s="103" t="str">
        <f>IF(Z82&gt;=91,"ST",IF(Z82&gt;=76,"T",IF(Z82&gt;=66,"S",IF(Z82&gt;=51,"R","SR"))))</f>
        <v>SR</v>
      </c>
      <c r="AA83" s="104"/>
      <c r="AB83" s="103" t="str">
        <f>IF(AB82&gt;=91,"ST",IF(AB82&gt;=76,"T",IF(AB82&gt;=66,"S",IF(AB82&gt;=51,"R","SR"))))</f>
        <v>SR</v>
      </c>
      <c r="AC83" s="103" t="str">
        <f>IF(AC82&gt;=91,"ST",IF(AC82&gt;=76,"T",IF(AC82&gt;=66,"S",IF(AC82&gt;=51,"R","SR"))))</f>
        <v>SR</v>
      </c>
      <c r="AD83" s="102"/>
      <c r="AE83" s="55"/>
      <c r="AF83" s="13"/>
      <c r="AG83" s="56"/>
      <c r="AH83" s="56"/>
      <c r="AI83" s="56"/>
      <c r="AJ83" s="56"/>
      <c r="AK83" s="56"/>
      <c r="AL83" s="56"/>
      <c r="AM83" s="56"/>
      <c r="AN83" s="57"/>
      <c r="AP83" s="58"/>
      <c r="AQ83" s="58"/>
      <c r="AR83" s="9"/>
      <c r="AS83" s="20"/>
      <c r="AT83" s="21"/>
      <c r="AU83" s="21"/>
      <c r="AV83" s="22"/>
      <c r="AW83" s="59"/>
      <c r="AY83" s="161"/>
      <c r="AZ83" s="161"/>
      <c r="BA83" s="158"/>
      <c r="BB83" s="196"/>
      <c r="BC83" s="60"/>
      <c r="BD83" s="60"/>
      <c r="BE83" s="60"/>
      <c r="BF83" s="60"/>
      <c r="BG83" s="60"/>
      <c r="BH83" s="60"/>
      <c r="BI83" s="60"/>
      <c r="BJ83" s="60"/>
      <c r="BK83" s="60"/>
      <c r="BL83" s="60"/>
      <c r="BM83" s="60"/>
      <c r="BN83" s="60"/>
      <c r="BO83" s="60"/>
      <c r="BP83" s="60"/>
      <c r="BQ83" s="60"/>
      <c r="BR83" s="60"/>
      <c r="BS83" s="60"/>
      <c r="BT83" s="60"/>
      <c r="BU83" s="60"/>
      <c r="BV83" s="60"/>
      <c r="BW83" s="60"/>
      <c r="BX83" s="60"/>
      <c r="BY83" s="60"/>
      <c r="BZ83" s="60"/>
      <c r="CA83" s="60"/>
      <c r="CB83" s="60"/>
      <c r="CC83" s="60"/>
      <c r="CD83" s="60"/>
      <c r="CE83" s="60"/>
      <c r="CF83" s="60"/>
      <c r="CG83" s="60"/>
      <c r="CH83" s="60"/>
      <c r="CI83" s="60"/>
      <c r="CJ83" s="60"/>
      <c r="CK83" s="60"/>
      <c r="CL83" s="60"/>
      <c r="CM83" s="60"/>
      <c r="CN83" s="60"/>
      <c r="CO83" s="60"/>
      <c r="CP83" s="60"/>
      <c r="CQ83" s="60"/>
      <c r="CR83" s="60"/>
      <c r="CS83" s="61"/>
    </row>
    <row r="84" spans="1:97" ht="56.25" x14ac:dyDescent="0.25">
      <c r="A84" s="130"/>
      <c r="B84" s="138" t="s">
        <v>213</v>
      </c>
      <c r="C84" s="132" t="s">
        <v>214</v>
      </c>
      <c r="D84" s="133" t="s">
        <v>215</v>
      </c>
      <c r="E84" s="134"/>
      <c r="F84" s="139"/>
      <c r="G84" s="139"/>
      <c r="H84" s="139"/>
      <c r="I84" s="139"/>
      <c r="J84" s="140"/>
      <c r="K84" s="136"/>
      <c r="L84" s="137"/>
      <c r="M84" s="126"/>
      <c r="N84" s="127"/>
      <c r="O84" s="126"/>
      <c r="P84" s="127"/>
      <c r="Q84" s="126"/>
      <c r="R84" s="127"/>
      <c r="S84" s="126"/>
      <c r="T84" s="127"/>
      <c r="U84" s="126"/>
      <c r="V84" s="127"/>
      <c r="W84" s="126"/>
      <c r="X84" s="126"/>
      <c r="Y84" s="126"/>
      <c r="Z84" s="126"/>
      <c r="AA84" s="128"/>
      <c r="AB84" s="126"/>
      <c r="AC84" s="126"/>
      <c r="AD84" s="129" t="s">
        <v>2</v>
      </c>
      <c r="AE84" s="1" t="s">
        <v>3</v>
      </c>
      <c r="AF84" s="13"/>
      <c r="AG84" s="14" t="s">
        <v>4</v>
      </c>
      <c r="AH84" s="14" t="str">
        <f t="shared" ref="AH84:AI86" si="30">IF(AN84&gt;=1,"√",IF(AN84&gt;=0,"X",))</f>
        <v>X</v>
      </c>
      <c r="AI84" s="14" t="str">
        <f t="shared" si="30"/>
        <v>X</v>
      </c>
      <c r="AJ84" s="15"/>
      <c r="AK84" s="16"/>
      <c r="AL84" s="16"/>
      <c r="AM84" s="15"/>
      <c r="AN84" s="36"/>
      <c r="AO84" s="18"/>
      <c r="AP84" s="19"/>
      <c r="AQ84" s="19"/>
      <c r="AR84" s="9"/>
      <c r="AS84" s="34"/>
      <c r="AT84" s="35"/>
      <c r="AU84" s="35"/>
      <c r="AV84" s="9"/>
      <c r="AY84" s="162"/>
      <c r="AZ84" s="162"/>
      <c r="BA84" s="158"/>
    </row>
    <row r="85" spans="1:97" ht="90" x14ac:dyDescent="0.25">
      <c r="A85" s="130"/>
      <c r="B85" s="131" t="s">
        <v>216</v>
      </c>
      <c r="C85" s="132" t="s">
        <v>217</v>
      </c>
      <c r="D85" s="133" t="s">
        <v>218</v>
      </c>
      <c r="E85" s="134"/>
      <c r="F85" s="135"/>
      <c r="G85" s="135"/>
      <c r="H85" s="135"/>
      <c r="I85" s="135"/>
      <c r="J85" s="103"/>
      <c r="K85" s="136"/>
      <c r="L85" s="137"/>
      <c r="M85" s="126"/>
      <c r="N85" s="127"/>
      <c r="O85" s="126"/>
      <c r="P85" s="127"/>
      <c r="Q85" s="126"/>
      <c r="R85" s="127"/>
      <c r="S85" s="126"/>
      <c r="T85" s="127"/>
      <c r="U85" s="126"/>
      <c r="V85" s="127"/>
      <c r="W85" s="126"/>
      <c r="X85" s="126"/>
      <c r="Y85" s="126"/>
      <c r="Z85" s="126"/>
      <c r="AA85" s="128"/>
      <c r="AB85" s="126"/>
      <c r="AC85" s="126"/>
      <c r="AD85" s="129" t="s">
        <v>2</v>
      </c>
      <c r="AE85" s="1" t="s">
        <v>3</v>
      </c>
      <c r="AF85" s="13"/>
      <c r="AG85" s="14" t="s">
        <v>4</v>
      </c>
      <c r="AH85" s="14" t="str">
        <f t="shared" si="30"/>
        <v>√</v>
      </c>
      <c r="AI85" s="14" t="str">
        <f t="shared" si="30"/>
        <v>√</v>
      </c>
      <c r="AJ85" s="15"/>
      <c r="AK85" s="16"/>
      <c r="AL85" s="16"/>
      <c r="AM85" s="15"/>
      <c r="AN85" s="36">
        <f>SUM(AN86:AN88)</f>
        <v>254202900</v>
      </c>
      <c r="AO85" s="18">
        <f>SUM(AO86:AO88)</f>
        <v>432897900</v>
      </c>
      <c r="AP85" s="19"/>
      <c r="AQ85" s="19"/>
      <c r="AR85" s="9"/>
      <c r="AS85" s="34"/>
      <c r="AT85" s="35"/>
      <c r="AU85" s="35"/>
      <c r="AV85" s="9"/>
      <c r="AY85" s="160"/>
      <c r="AZ85" s="160"/>
      <c r="BA85" s="158"/>
    </row>
    <row r="86" spans="1:97" ht="33.75" x14ac:dyDescent="0.25">
      <c r="A86" s="117"/>
      <c r="B86" s="118" t="s">
        <v>219</v>
      </c>
      <c r="C86" s="119" t="s">
        <v>220</v>
      </c>
      <c r="D86" s="120" t="s">
        <v>221</v>
      </c>
      <c r="E86" s="121" t="s">
        <v>18</v>
      </c>
      <c r="F86" s="122"/>
      <c r="G86" s="122"/>
      <c r="H86" s="122"/>
      <c r="I86" s="122"/>
      <c r="J86" s="123">
        <v>1</v>
      </c>
      <c r="K86" s="124">
        <f t="shared" ref="K86:L96" si="31">AN86*0.001</f>
        <v>129574.85</v>
      </c>
      <c r="L86" s="125">
        <f t="shared" si="31"/>
        <v>137119.79999999999</v>
      </c>
      <c r="M86" s="126">
        <f>2.7%*J86</f>
        <v>2.7000000000000003E-2</v>
      </c>
      <c r="N86" s="127">
        <f>3756900*0.001</f>
        <v>3756.9</v>
      </c>
      <c r="O86" s="126">
        <v>0</v>
      </c>
      <c r="P86" s="175">
        <v>14789471</v>
      </c>
      <c r="Q86" s="126">
        <v>0</v>
      </c>
      <c r="R86" s="175">
        <v>42033797</v>
      </c>
      <c r="S86" s="126">
        <v>0</v>
      </c>
      <c r="T86" s="127">
        <v>0</v>
      </c>
      <c r="U86" s="126">
        <f t="shared" ref="U86:U96" si="32">SUM(M86+O86+Q86+S86)</f>
        <v>2.7000000000000003E-2</v>
      </c>
      <c r="V86" s="127">
        <f t="shared" ref="V86:V96" si="33">SUM(N86+P86+R86+T86)</f>
        <v>56827024.899999999</v>
      </c>
      <c r="W86" s="126">
        <f t="shared" ref="W86:W96" si="34">IFERROR(SUM(U86/J86*100),0)</f>
        <v>2.7</v>
      </c>
      <c r="X86" s="126">
        <f t="shared" ref="X86:X96" si="35">IFERROR(SUM(V86/K86*100),0)</f>
        <v>43856.523777569484</v>
      </c>
      <c r="Y86" s="126">
        <f t="shared" ref="Y86:Y96" si="36">IFERROR(SUM(V86/L86*100),0)</f>
        <v>41443.339984451559</v>
      </c>
      <c r="Z86" s="126">
        <f t="shared" ref="Z86:Z96" si="37">IFERROR(SUM(H86+U86),0)</f>
        <v>2.7000000000000003E-2</v>
      </c>
      <c r="AA86" s="128">
        <f t="shared" ref="AA86:AA96" si="38">I86+V86</f>
        <v>56827024.899999999</v>
      </c>
      <c r="AB86" s="126">
        <f t="shared" ref="AB86:AB96" si="39">IFERROR(SUM(Z86/F86*100),0)</f>
        <v>0</v>
      </c>
      <c r="AC86" s="126">
        <f t="shared" ref="AC86:AC96" si="40">IFERROR(SUM(AA86/G86*100),0)</f>
        <v>0</v>
      </c>
      <c r="AD86" s="129" t="s">
        <v>2</v>
      </c>
      <c r="AE86" s="1" t="s">
        <v>3</v>
      </c>
      <c r="AF86" s="2"/>
      <c r="AG86" s="3" t="s">
        <v>4</v>
      </c>
      <c r="AH86" s="3" t="str">
        <f t="shared" si="30"/>
        <v>√</v>
      </c>
      <c r="AI86" s="3" t="str">
        <f t="shared" si="30"/>
        <v>√</v>
      </c>
      <c r="AJ86" s="4"/>
      <c r="AK86" s="5"/>
      <c r="AL86" s="5"/>
      <c r="AM86" s="4"/>
      <c r="AN86" s="39">
        <v>129574850</v>
      </c>
      <c r="AO86" s="7">
        <v>137119800</v>
      </c>
      <c r="AP86" s="8"/>
      <c r="AQ86" s="8"/>
      <c r="AR86" s="42"/>
      <c r="AS86" s="40"/>
      <c r="AT86" s="41"/>
      <c r="AU86" s="41"/>
      <c r="AV86" s="42"/>
      <c r="AY86" s="162">
        <v>3756900</v>
      </c>
      <c r="AZ86" s="160">
        <v>18546371</v>
      </c>
      <c r="BA86" s="158">
        <f>AZ86-AY86</f>
        <v>14789471</v>
      </c>
      <c r="BB86" s="193">
        <v>56823268</v>
      </c>
      <c r="BC86" s="221">
        <f>BB86-BA86</f>
        <v>42033797</v>
      </c>
    </row>
    <row r="87" spans="1:97" ht="22.5" x14ac:dyDescent="0.25">
      <c r="A87" s="117"/>
      <c r="B87" s="118" t="s">
        <v>222</v>
      </c>
      <c r="C87" s="119" t="s">
        <v>223</v>
      </c>
      <c r="D87" s="120" t="s">
        <v>224</v>
      </c>
      <c r="E87" s="121" t="s">
        <v>31</v>
      </c>
      <c r="F87" s="142"/>
      <c r="G87" s="142"/>
      <c r="H87" s="142"/>
      <c r="I87" s="142"/>
      <c r="J87" s="143">
        <v>1</v>
      </c>
      <c r="K87" s="144">
        <f>101244050*0.001</f>
        <v>101244.05</v>
      </c>
      <c r="L87" s="125">
        <f t="shared" si="31"/>
        <v>153224.35</v>
      </c>
      <c r="M87" s="126">
        <f>7%*J87</f>
        <v>7.0000000000000007E-2</v>
      </c>
      <c r="N87" s="127">
        <f>10159500*0.001</f>
        <v>10159.5</v>
      </c>
      <c r="O87" s="126">
        <v>0</v>
      </c>
      <c r="P87" s="175">
        <v>23736150</v>
      </c>
      <c r="Q87" s="126">
        <v>0</v>
      </c>
      <c r="R87" s="175">
        <v>78736350</v>
      </c>
      <c r="S87" s="126">
        <v>0</v>
      </c>
      <c r="T87" s="127">
        <v>0</v>
      </c>
      <c r="U87" s="126">
        <f t="shared" si="32"/>
        <v>7.0000000000000007E-2</v>
      </c>
      <c r="V87" s="127">
        <f t="shared" si="33"/>
        <v>102482659.5</v>
      </c>
      <c r="W87" s="126">
        <f t="shared" si="34"/>
        <v>7.0000000000000009</v>
      </c>
      <c r="X87" s="126">
        <f t="shared" si="35"/>
        <v>101223.38991772849</v>
      </c>
      <c r="Y87" s="126">
        <f t="shared" si="36"/>
        <v>66884.0556347604</v>
      </c>
      <c r="Z87" s="126">
        <f t="shared" si="37"/>
        <v>7.0000000000000007E-2</v>
      </c>
      <c r="AA87" s="128">
        <f t="shared" si="38"/>
        <v>102482659.5</v>
      </c>
      <c r="AB87" s="126">
        <f t="shared" si="39"/>
        <v>0</v>
      </c>
      <c r="AC87" s="126">
        <f t="shared" si="40"/>
        <v>0</v>
      </c>
      <c r="AD87" s="129" t="s">
        <v>2</v>
      </c>
      <c r="AE87" s="1"/>
      <c r="AF87" s="2"/>
      <c r="AG87" s="4"/>
      <c r="AH87" s="4"/>
      <c r="AI87" s="4"/>
      <c r="AJ87" s="4"/>
      <c r="AK87" s="5"/>
      <c r="AL87" s="5"/>
      <c r="AM87" s="4"/>
      <c r="AN87" s="43">
        <v>101244050</v>
      </c>
      <c r="AO87" s="29">
        <v>153224350</v>
      </c>
      <c r="AP87" s="8"/>
      <c r="AQ87" s="8"/>
      <c r="AR87" s="42"/>
      <c r="AS87" s="40"/>
      <c r="AT87" s="41"/>
      <c r="AU87" s="41"/>
      <c r="AV87" s="42"/>
      <c r="AY87" s="160">
        <v>10159500</v>
      </c>
      <c r="AZ87" s="161">
        <v>33895650</v>
      </c>
      <c r="BA87" s="158">
        <f>AZ87-AY87</f>
        <v>23736150</v>
      </c>
      <c r="BB87" s="193">
        <v>102472500</v>
      </c>
      <c r="BC87" s="221">
        <f>BB87-BA87</f>
        <v>78736350</v>
      </c>
    </row>
    <row r="88" spans="1:97" ht="22.5" x14ac:dyDescent="0.25">
      <c r="A88" s="117"/>
      <c r="B88" s="118" t="s">
        <v>225</v>
      </c>
      <c r="C88" s="119" t="s">
        <v>226</v>
      </c>
      <c r="D88" s="120" t="s">
        <v>227</v>
      </c>
      <c r="E88" s="121" t="s">
        <v>18</v>
      </c>
      <c r="F88" s="122"/>
      <c r="G88" s="122"/>
      <c r="H88" s="122"/>
      <c r="I88" s="122"/>
      <c r="J88" s="123">
        <v>1</v>
      </c>
      <c r="K88" s="124">
        <f t="shared" si="31"/>
        <v>23384</v>
      </c>
      <c r="L88" s="125">
        <f t="shared" si="31"/>
        <v>142553.75</v>
      </c>
      <c r="M88" s="126">
        <f>1.5%*J88</f>
        <v>1.4999999999999999E-2</v>
      </c>
      <c r="N88" s="127">
        <f>2020000*0.001</f>
        <v>2020</v>
      </c>
      <c r="O88" s="126">
        <v>0</v>
      </c>
      <c r="P88" s="175">
        <v>11094850</v>
      </c>
      <c r="Q88" s="126">
        <v>0</v>
      </c>
      <c r="R88" s="175">
        <v>11744450</v>
      </c>
      <c r="S88" s="126">
        <v>0</v>
      </c>
      <c r="T88" s="127">
        <v>0</v>
      </c>
      <c r="U88" s="126">
        <f t="shared" si="32"/>
        <v>1.4999999999999999E-2</v>
      </c>
      <c r="V88" s="127">
        <f t="shared" si="33"/>
        <v>22841320</v>
      </c>
      <c r="W88" s="126">
        <f t="shared" si="34"/>
        <v>1.5</v>
      </c>
      <c r="X88" s="126">
        <f t="shared" si="35"/>
        <v>97679.26787547041</v>
      </c>
      <c r="Y88" s="126">
        <f t="shared" si="36"/>
        <v>16022.952745894094</v>
      </c>
      <c r="Z88" s="126">
        <f t="shared" si="37"/>
        <v>1.4999999999999999E-2</v>
      </c>
      <c r="AA88" s="128">
        <f t="shared" si="38"/>
        <v>22841320</v>
      </c>
      <c r="AB88" s="126">
        <f t="shared" si="39"/>
        <v>0</v>
      </c>
      <c r="AC88" s="126">
        <f t="shared" si="40"/>
        <v>0</v>
      </c>
      <c r="AD88" s="129" t="s">
        <v>2</v>
      </c>
      <c r="AE88" s="1" t="s">
        <v>3</v>
      </c>
      <c r="AF88" s="2"/>
      <c r="AG88" s="3" t="s">
        <v>4</v>
      </c>
      <c r="AH88" s="3" t="str">
        <f t="shared" ref="AH88:AI91" si="41">IF(AN88&gt;=1,"√",IF(AN88&gt;=0,"X",))</f>
        <v>√</v>
      </c>
      <c r="AI88" s="3" t="str">
        <f t="shared" si="41"/>
        <v>√</v>
      </c>
      <c r="AJ88" s="4"/>
      <c r="AK88" s="5"/>
      <c r="AL88" s="5"/>
      <c r="AM88" s="4"/>
      <c r="AN88" s="39">
        <v>23384000</v>
      </c>
      <c r="AO88" s="7">
        <v>142553750</v>
      </c>
      <c r="AP88" s="8"/>
      <c r="AQ88" s="8"/>
      <c r="AR88" s="42"/>
      <c r="AS88" s="40"/>
      <c r="AT88" s="41"/>
      <c r="AU88" s="41"/>
      <c r="AV88" s="42"/>
      <c r="AY88" s="160">
        <v>2020000</v>
      </c>
      <c r="AZ88" s="162">
        <v>13114850</v>
      </c>
      <c r="BA88" s="166">
        <f>AZ88-AY88</f>
        <v>11094850</v>
      </c>
      <c r="BB88" s="193">
        <v>22839300</v>
      </c>
      <c r="BC88" s="221">
        <f>BB88-BA88</f>
        <v>11744450</v>
      </c>
    </row>
    <row r="89" spans="1:97" ht="67.5" x14ac:dyDescent="0.25">
      <c r="A89" s="130"/>
      <c r="B89" s="131" t="s">
        <v>228</v>
      </c>
      <c r="C89" s="132" t="s">
        <v>229</v>
      </c>
      <c r="D89" s="133" t="s">
        <v>230</v>
      </c>
      <c r="E89" s="134"/>
      <c r="F89" s="135"/>
      <c r="G89" s="135"/>
      <c r="H89" s="135"/>
      <c r="I89" s="135"/>
      <c r="J89" s="103"/>
      <c r="K89" s="136"/>
      <c r="L89" s="137"/>
      <c r="M89" s="126"/>
      <c r="N89" s="127"/>
      <c r="O89" s="126"/>
      <c r="P89" s="127"/>
      <c r="Q89" s="126"/>
      <c r="R89" s="127"/>
      <c r="S89" s="126"/>
      <c r="T89" s="127"/>
      <c r="U89" s="126"/>
      <c r="V89" s="127"/>
      <c r="W89" s="126"/>
      <c r="X89" s="126"/>
      <c r="Y89" s="126"/>
      <c r="Z89" s="126"/>
      <c r="AA89" s="128"/>
      <c r="AB89" s="126"/>
      <c r="AC89" s="126"/>
      <c r="AD89" s="129" t="s">
        <v>2</v>
      </c>
      <c r="AE89" s="1" t="s">
        <v>3</v>
      </c>
      <c r="AF89" s="13"/>
      <c r="AG89" s="14" t="s">
        <v>4</v>
      </c>
      <c r="AH89" s="14" t="str">
        <f t="shared" si="41"/>
        <v>√</v>
      </c>
      <c r="AI89" s="14" t="str">
        <f t="shared" si="41"/>
        <v>X</v>
      </c>
      <c r="AJ89" s="15"/>
      <c r="AK89" s="16"/>
      <c r="AL89" s="16"/>
      <c r="AM89" s="15"/>
      <c r="AN89" s="36">
        <f>SUM(AN90:AN92)</f>
        <v>98266500</v>
      </c>
      <c r="AO89" s="18">
        <f>AO90+AO91+AO92</f>
        <v>0</v>
      </c>
      <c r="AP89" s="19"/>
      <c r="AQ89" s="19"/>
      <c r="AR89" s="9"/>
      <c r="AS89" s="34"/>
      <c r="AT89" s="35"/>
      <c r="AU89" s="35"/>
      <c r="AV89" s="9"/>
      <c r="AY89" s="160"/>
      <c r="AZ89" s="160"/>
      <c r="BA89" s="166"/>
    </row>
    <row r="90" spans="1:97" ht="22.5" x14ac:dyDescent="0.25">
      <c r="A90" s="117"/>
      <c r="B90" s="118" t="s">
        <v>231</v>
      </c>
      <c r="C90" s="119" t="s">
        <v>232</v>
      </c>
      <c r="D90" s="120" t="s">
        <v>233</v>
      </c>
      <c r="E90" s="121" t="s">
        <v>18</v>
      </c>
      <c r="F90" s="122"/>
      <c r="G90" s="122"/>
      <c r="H90" s="122"/>
      <c r="I90" s="122"/>
      <c r="J90" s="123">
        <v>1</v>
      </c>
      <c r="K90" s="144">
        <f>52485350*0.001</f>
        <v>52485.35</v>
      </c>
      <c r="L90" s="125">
        <f t="shared" si="31"/>
        <v>0</v>
      </c>
      <c r="M90" s="126">
        <v>0</v>
      </c>
      <c r="N90" s="127">
        <v>0</v>
      </c>
      <c r="O90" s="126">
        <v>0</v>
      </c>
      <c r="P90" s="127">
        <v>0</v>
      </c>
      <c r="Q90" s="126">
        <v>0</v>
      </c>
      <c r="R90" s="127">
        <v>0</v>
      </c>
      <c r="S90" s="126">
        <v>0</v>
      </c>
      <c r="T90" s="127">
        <v>0</v>
      </c>
      <c r="U90" s="126">
        <f t="shared" si="32"/>
        <v>0</v>
      </c>
      <c r="V90" s="127">
        <f t="shared" si="33"/>
        <v>0</v>
      </c>
      <c r="W90" s="126">
        <f t="shared" si="34"/>
        <v>0</v>
      </c>
      <c r="X90" s="126">
        <f t="shared" si="35"/>
        <v>0</v>
      </c>
      <c r="Y90" s="126">
        <f t="shared" si="36"/>
        <v>0</v>
      </c>
      <c r="Z90" s="126">
        <f t="shared" si="37"/>
        <v>0</v>
      </c>
      <c r="AA90" s="128">
        <f t="shared" si="38"/>
        <v>0</v>
      </c>
      <c r="AB90" s="126">
        <f t="shared" si="39"/>
        <v>0</v>
      </c>
      <c r="AC90" s="126">
        <f t="shared" si="40"/>
        <v>0</v>
      </c>
      <c r="AD90" s="129" t="s">
        <v>2</v>
      </c>
      <c r="AE90" s="1"/>
      <c r="AF90" s="2"/>
      <c r="AG90" s="3"/>
      <c r="AH90" s="3"/>
      <c r="AI90" s="3"/>
      <c r="AJ90" s="4"/>
      <c r="AK90" s="5"/>
      <c r="AL90" s="5"/>
      <c r="AM90" s="4"/>
      <c r="AN90" s="43">
        <v>52485350</v>
      </c>
      <c r="AO90" s="29">
        <v>0</v>
      </c>
      <c r="AP90" s="8"/>
      <c r="AQ90" s="8"/>
      <c r="AR90" s="42"/>
      <c r="AS90" s="40"/>
      <c r="AT90" s="41"/>
      <c r="AU90" s="41"/>
      <c r="AV90" s="42"/>
      <c r="AY90" s="160" t="s">
        <v>288</v>
      </c>
      <c r="AZ90" s="160" t="s">
        <v>288</v>
      </c>
      <c r="BA90" s="166"/>
      <c r="BB90" s="193" t="s">
        <v>288</v>
      </c>
    </row>
    <row r="91" spans="1:97" ht="22.5" x14ac:dyDescent="0.25">
      <c r="A91" s="117"/>
      <c r="B91" s="118" t="s">
        <v>234</v>
      </c>
      <c r="C91" s="119" t="s">
        <v>235</v>
      </c>
      <c r="D91" s="120" t="s">
        <v>236</v>
      </c>
      <c r="E91" s="121" t="s">
        <v>31</v>
      </c>
      <c r="F91" s="122"/>
      <c r="G91" s="122"/>
      <c r="H91" s="122"/>
      <c r="I91" s="122"/>
      <c r="J91" s="123">
        <v>1</v>
      </c>
      <c r="K91" s="124">
        <f t="shared" si="31"/>
        <v>22310.25</v>
      </c>
      <c r="L91" s="125">
        <f t="shared" si="31"/>
        <v>0</v>
      </c>
      <c r="M91" s="126">
        <v>0</v>
      </c>
      <c r="N91" s="127">
        <v>0</v>
      </c>
      <c r="O91" s="126">
        <v>0</v>
      </c>
      <c r="P91" s="127">
        <v>0</v>
      </c>
      <c r="Q91" s="126">
        <v>0</v>
      </c>
      <c r="R91" s="127">
        <v>0</v>
      </c>
      <c r="S91" s="126">
        <v>0</v>
      </c>
      <c r="T91" s="127">
        <v>0</v>
      </c>
      <c r="U91" s="126">
        <f t="shared" si="32"/>
        <v>0</v>
      </c>
      <c r="V91" s="127">
        <f t="shared" si="33"/>
        <v>0</v>
      </c>
      <c r="W91" s="126">
        <f t="shared" si="34"/>
        <v>0</v>
      </c>
      <c r="X91" s="126">
        <f t="shared" si="35"/>
        <v>0</v>
      </c>
      <c r="Y91" s="126">
        <f t="shared" si="36"/>
        <v>0</v>
      </c>
      <c r="Z91" s="126">
        <f t="shared" si="37"/>
        <v>0</v>
      </c>
      <c r="AA91" s="128">
        <f t="shared" si="38"/>
        <v>0</v>
      </c>
      <c r="AB91" s="126">
        <f t="shared" si="39"/>
        <v>0</v>
      </c>
      <c r="AC91" s="126">
        <f t="shared" si="40"/>
        <v>0</v>
      </c>
      <c r="AD91" s="129" t="s">
        <v>2</v>
      </c>
      <c r="AE91" s="1" t="s">
        <v>3</v>
      </c>
      <c r="AF91" s="2"/>
      <c r="AG91" s="3" t="s">
        <v>4</v>
      </c>
      <c r="AH91" s="3" t="str">
        <f t="shared" si="41"/>
        <v>√</v>
      </c>
      <c r="AI91" s="3" t="str">
        <f t="shared" si="41"/>
        <v>X</v>
      </c>
      <c r="AJ91" s="4"/>
      <c r="AK91" s="5"/>
      <c r="AL91" s="5"/>
      <c r="AM91" s="4"/>
      <c r="AN91" s="39">
        <v>22310250</v>
      </c>
      <c r="AO91" s="7">
        <v>0</v>
      </c>
      <c r="AP91" s="8"/>
      <c r="AQ91" s="8"/>
      <c r="AR91" s="42"/>
      <c r="AS91" s="40"/>
      <c r="AT91" s="41"/>
      <c r="AU91" s="41"/>
      <c r="AV91" s="42"/>
      <c r="AY91" s="161" t="s">
        <v>288</v>
      </c>
      <c r="AZ91" s="161" t="s">
        <v>288</v>
      </c>
      <c r="BA91" s="158"/>
      <c r="BB91" s="193" t="s">
        <v>288</v>
      </c>
    </row>
    <row r="92" spans="1:97" ht="22.5" x14ac:dyDescent="0.25">
      <c r="A92" s="117"/>
      <c r="B92" s="118" t="s">
        <v>237</v>
      </c>
      <c r="C92" s="119" t="s">
        <v>238</v>
      </c>
      <c r="D92" s="120" t="s">
        <v>239</v>
      </c>
      <c r="E92" s="121" t="s">
        <v>31</v>
      </c>
      <c r="F92" s="122"/>
      <c r="G92" s="122"/>
      <c r="H92" s="122"/>
      <c r="I92" s="122"/>
      <c r="J92" s="123">
        <v>1</v>
      </c>
      <c r="K92" s="144">
        <f>23470900*0.001</f>
        <v>23470.9</v>
      </c>
      <c r="L92" s="125">
        <f t="shared" si="31"/>
        <v>0</v>
      </c>
      <c r="M92" s="126">
        <v>0</v>
      </c>
      <c r="N92" s="127">
        <v>0</v>
      </c>
      <c r="O92" s="126">
        <v>0</v>
      </c>
      <c r="P92" s="127">
        <v>0</v>
      </c>
      <c r="Q92" s="126">
        <v>0</v>
      </c>
      <c r="R92" s="127">
        <v>0</v>
      </c>
      <c r="S92" s="126">
        <v>0</v>
      </c>
      <c r="T92" s="127">
        <v>0</v>
      </c>
      <c r="U92" s="126">
        <f t="shared" si="32"/>
        <v>0</v>
      </c>
      <c r="V92" s="127">
        <f t="shared" si="33"/>
        <v>0</v>
      </c>
      <c r="W92" s="126">
        <f t="shared" si="34"/>
        <v>0</v>
      </c>
      <c r="X92" s="126">
        <f t="shared" si="35"/>
        <v>0</v>
      </c>
      <c r="Y92" s="126">
        <f t="shared" si="36"/>
        <v>0</v>
      </c>
      <c r="Z92" s="126">
        <f t="shared" si="37"/>
        <v>0</v>
      </c>
      <c r="AA92" s="128">
        <f t="shared" si="38"/>
        <v>0</v>
      </c>
      <c r="AB92" s="126">
        <f t="shared" si="39"/>
        <v>0</v>
      </c>
      <c r="AC92" s="126">
        <f t="shared" si="40"/>
        <v>0</v>
      </c>
      <c r="AD92" s="129" t="s">
        <v>2</v>
      </c>
      <c r="AE92" s="1"/>
      <c r="AF92" s="2"/>
      <c r="AG92" s="3"/>
      <c r="AH92" s="3"/>
      <c r="AI92" s="3"/>
      <c r="AJ92" s="4"/>
      <c r="AK92" s="5"/>
      <c r="AL92" s="5"/>
      <c r="AM92" s="4"/>
      <c r="AN92" s="43">
        <v>23470900</v>
      </c>
      <c r="AO92" s="29">
        <v>0</v>
      </c>
      <c r="AP92" s="8"/>
      <c r="AQ92" s="8"/>
      <c r="AR92" s="42"/>
      <c r="AS92" s="40"/>
      <c r="AT92" s="41"/>
      <c r="AU92" s="41"/>
      <c r="AV92" s="42"/>
      <c r="AY92" s="162" t="s">
        <v>288</v>
      </c>
      <c r="AZ92" s="162" t="s">
        <v>288</v>
      </c>
      <c r="BA92" s="158"/>
      <c r="BB92" s="193" t="s">
        <v>288</v>
      </c>
    </row>
    <row r="93" spans="1:97" ht="33.75" x14ac:dyDescent="0.25">
      <c r="A93" s="130"/>
      <c r="B93" s="131" t="s">
        <v>240</v>
      </c>
      <c r="C93" s="132" t="s">
        <v>241</v>
      </c>
      <c r="D93" s="133" t="s">
        <v>242</v>
      </c>
      <c r="E93" s="134"/>
      <c r="F93" s="139"/>
      <c r="G93" s="139"/>
      <c r="H93" s="139"/>
      <c r="I93" s="139"/>
      <c r="J93" s="140"/>
      <c r="K93" s="136"/>
      <c r="L93" s="137"/>
      <c r="M93" s="126"/>
      <c r="N93" s="127"/>
      <c r="O93" s="126"/>
      <c r="P93" s="127"/>
      <c r="Q93" s="126"/>
      <c r="R93" s="127"/>
      <c r="S93" s="126"/>
      <c r="T93" s="127"/>
      <c r="U93" s="126"/>
      <c r="V93" s="127"/>
      <c r="W93" s="126"/>
      <c r="X93" s="126"/>
      <c r="Y93" s="126"/>
      <c r="Z93" s="126"/>
      <c r="AA93" s="128"/>
      <c r="AB93" s="126"/>
      <c r="AC93" s="126"/>
      <c r="AD93" s="129" t="s">
        <v>2</v>
      </c>
      <c r="AE93" s="1" t="s">
        <v>3</v>
      </c>
      <c r="AF93" s="13"/>
      <c r="AG93" s="14" t="s">
        <v>4</v>
      </c>
      <c r="AH93" s="14" t="str">
        <f t="shared" ref="AH93:AI95" si="42">IF(AN93&gt;=1,"√",IF(AN93&gt;=0,"X",))</f>
        <v>√</v>
      </c>
      <c r="AI93" s="14" t="str">
        <f t="shared" si="42"/>
        <v>√</v>
      </c>
      <c r="AJ93" s="15"/>
      <c r="AK93" s="16"/>
      <c r="AL93" s="16"/>
      <c r="AM93" s="15"/>
      <c r="AN93" s="36">
        <f>SUM(AN94:AN96)</f>
        <v>179523800</v>
      </c>
      <c r="AO93" s="18">
        <f>SUM(AO94:AO96)</f>
        <v>84074550</v>
      </c>
      <c r="AP93" s="19"/>
      <c r="AQ93" s="19"/>
      <c r="AR93" s="9"/>
      <c r="AS93" s="34"/>
      <c r="AT93" s="35"/>
      <c r="AU93" s="35"/>
      <c r="AV93" s="9"/>
      <c r="AY93" s="160"/>
      <c r="AZ93" s="160"/>
      <c r="BA93" s="158"/>
    </row>
    <row r="94" spans="1:97" ht="22.5" x14ac:dyDescent="0.25">
      <c r="A94" s="117"/>
      <c r="B94" s="118" t="s">
        <v>243</v>
      </c>
      <c r="C94" s="119" t="s">
        <v>241</v>
      </c>
      <c r="D94" s="120" t="s">
        <v>244</v>
      </c>
      <c r="E94" s="121" t="s">
        <v>18</v>
      </c>
      <c r="F94" s="122"/>
      <c r="G94" s="122"/>
      <c r="H94" s="122"/>
      <c r="I94" s="122"/>
      <c r="J94" s="123">
        <v>1</v>
      </c>
      <c r="K94" s="124">
        <f t="shared" si="31"/>
        <v>40828</v>
      </c>
      <c r="L94" s="125">
        <f t="shared" si="31"/>
        <v>14999.85</v>
      </c>
      <c r="M94" s="126">
        <f>7%*J94</f>
        <v>7.0000000000000007E-2</v>
      </c>
      <c r="N94" s="127">
        <f>1010000*0.001</f>
        <v>1010</v>
      </c>
      <c r="O94" s="126">
        <v>0</v>
      </c>
      <c r="P94" s="175">
        <v>4318750</v>
      </c>
      <c r="Q94" s="126">
        <v>0</v>
      </c>
      <c r="R94" s="175">
        <v>2525000</v>
      </c>
      <c r="S94" s="126">
        <v>0</v>
      </c>
      <c r="T94" s="127">
        <v>0</v>
      </c>
      <c r="U94" s="126">
        <f t="shared" si="32"/>
        <v>7.0000000000000007E-2</v>
      </c>
      <c r="V94" s="127">
        <f t="shared" si="33"/>
        <v>6844760</v>
      </c>
      <c r="W94" s="126">
        <f t="shared" si="34"/>
        <v>7.0000000000000009</v>
      </c>
      <c r="X94" s="126">
        <f t="shared" si="35"/>
        <v>16764.867247967082</v>
      </c>
      <c r="Y94" s="126">
        <f t="shared" si="36"/>
        <v>45632.189655229886</v>
      </c>
      <c r="Z94" s="126">
        <f t="shared" si="37"/>
        <v>7.0000000000000007E-2</v>
      </c>
      <c r="AA94" s="128">
        <f t="shared" si="38"/>
        <v>6844760</v>
      </c>
      <c r="AB94" s="126">
        <f t="shared" si="39"/>
        <v>0</v>
      </c>
      <c r="AC94" s="126">
        <f t="shared" si="40"/>
        <v>0</v>
      </c>
      <c r="AD94" s="129" t="s">
        <v>2</v>
      </c>
      <c r="AE94" s="1" t="s">
        <v>3</v>
      </c>
      <c r="AF94" s="2"/>
      <c r="AG94" s="3" t="s">
        <v>4</v>
      </c>
      <c r="AH94" s="3" t="str">
        <f t="shared" si="42"/>
        <v>√</v>
      </c>
      <c r="AI94" s="3" t="str">
        <f t="shared" si="42"/>
        <v>√</v>
      </c>
      <c r="AJ94" s="4"/>
      <c r="AK94" s="5"/>
      <c r="AL94" s="5"/>
      <c r="AM94" s="4"/>
      <c r="AN94" s="39">
        <v>40828000</v>
      </c>
      <c r="AO94" s="7">
        <v>14999850</v>
      </c>
      <c r="AP94" s="8"/>
      <c r="AQ94" s="8"/>
      <c r="AR94" s="42"/>
      <c r="AS94" s="40"/>
      <c r="AT94" s="41"/>
      <c r="AU94" s="41"/>
      <c r="AV94" s="42"/>
      <c r="AY94" s="162">
        <v>1010000</v>
      </c>
      <c r="AZ94" s="160">
        <v>5328750</v>
      </c>
      <c r="BA94" s="166">
        <f>AZ94-AY94</f>
        <v>4318750</v>
      </c>
      <c r="BB94" s="193">
        <v>6843750</v>
      </c>
      <c r="BC94" s="221">
        <f>BB94-BA94</f>
        <v>2525000</v>
      </c>
    </row>
    <row r="95" spans="1:97" ht="22.5" x14ac:dyDescent="0.25">
      <c r="A95" s="117"/>
      <c r="B95" s="118" t="s">
        <v>245</v>
      </c>
      <c r="C95" s="119" t="s">
        <v>246</v>
      </c>
      <c r="D95" s="120" t="s">
        <v>247</v>
      </c>
      <c r="E95" s="121" t="s">
        <v>18</v>
      </c>
      <c r="F95" s="142"/>
      <c r="G95" s="142"/>
      <c r="H95" s="142"/>
      <c r="I95" s="142"/>
      <c r="J95" s="143">
        <v>1</v>
      </c>
      <c r="K95" s="124">
        <f t="shared" si="31"/>
        <v>76854.8</v>
      </c>
      <c r="L95" s="125">
        <f t="shared" si="31"/>
        <v>69074.7</v>
      </c>
      <c r="M95" s="126">
        <f>21%*J95</f>
        <v>0.21</v>
      </c>
      <c r="N95" s="127">
        <f>14140000*0.001</f>
        <v>14140</v>
      </c>
      <c r="O95" s="126">
        <v>0</v>
      </c>
      <c r="P95" s="175">
        <v>9440000</v>
      </c>
      <c r="Q95" s="126">
        <v>0</v>
      </c>
      <c r="R95" s="175">
        <v>30636000</v>
      </c>
      <c r="S95" s="126">
        <v>0</v>
      </c>
      <c r="T95" s="127">
        <v>0</v>
      </c>
      <c r="U95" s="126">
        <f t="shared" si="32"/>
        <v>0.21</v>
      </c>
      <c r="V95" s="127">
        <f t="shared" si="33"/>
        <v>40090140</v>
      </c>
      <c r="W95" s="126">
        <f t="shared" si="34"/>
        <v>21</v>
      </c>
      <c r="X95" s="126">
        <f t="shared" si="35"/>
        <v>52163.482306895596</v>
      </c>
      <c r="Y95" s="126">
        <f t="shared" si="36"/>
        <v>58038.818843947207</v>
      </c>
      <c r="Z95" s="126">
        <f t="shared" si="37"/>
        <v>0.21</v>
      </c>
      <c r="AA95" s="128">
        <f t="shared" si="38"/>
        <v>40090140</v>
      </c>
      <c r="AB95" s="126">
        <f t="shared" si="39"/>
        <v>0</v>
      </c>
      <c r="AC95" s="126">
        <f t="shared" si="40"/>
        <v>0</v>
      </c>
      <c r="AD95" s="129" t="s">
        <v>2</v>
      </c>
      <c r="AE95" s="1" t="s">
        <v>3</v>
      </c>
      <c r="AF95" s="2"/>
      <c r="AG95" s="3" t="s">
        <v>4</v>
      </c>
      <c r="AH95" s="3" t="str">
        <f t="shared" si="42"/>
        <v>√</v>
      </c>
      <c r="AI95" s="3" t="str">
        <f t="shared" si="42"/>
        <v>√</v>
      </c>
      <c r="AJ95" s="4"/>
      <c r="AK95" s="5"/>
      <c r="AL95" s="5"/>
      <c r="AM95" s="4"/>
      <c r="AN95" s="39">
        <v>76854800</v>
      </c>
      <c r="AO95" s="7">
        <v>69074700</v>
      </c>
      <c r="AP95" s="8"/>
      <c r="AQ95" s="8"/>
      <c r="AR95" s="42"/>
      <c r="AS95" s="40"/>
      <c r="AT95" s="41"/>
      <c r="AU95" s="41"/>
      <c r="AV95" s="42"/>
      <c r="AY95" s="160">
        <v>14140000</v>
      </c>
      <c r="AZ95" s="171">
        <v>23580000</v>
      </c>
      <c r="BA95" s="172">
        <f>AZ95-AY95</f>
        <v>9440000</v>
      </c>
      <c r="BB95" s="193">
        <v>40076000</v>
      </c>
      <c r="BC95" s="221">
        <f>BB95-BA95</f>
        <v>30636000</v>
      </c>
    </row>
    <row r="96" spans="1:97" ht="22.5" x14ac:dyDescent="0.25">
      <c r="A96" s="146"/>
      <c r="B96" s="118" t="s">
        <v>248</v>
      </c>
      <c r="C96" s="119" t="s">
        <v>249</v>
      </c>
      <c r="D96" s="119" t="s">
        <v>250</v>
      </c>
      <c r="E96" s="121" t="s">
        <v>49</v>
      </c>
      <c r="F96" s="147"/>
      <c r="G96" s="148"/>
      <c r="H96" s="149"/>
      <c r="I96" s="150"/>
      <c r="J96" s="151">
        <v>1</v>
      </c>
      <c r="K96" s="152">
        <f>61841000*0.001</f>
        <v>61841</v>
      </c>
      <c r="L96" s="125">
        <f t="shared" si="31"/>
        <v>0</v>
      </c>
      <c r="M96" s="126">
        <v>0</v>
      </c>
      <c r="N96" s="127">
        <v>0</v>
      </c>
      <c r="O96" s="126">
        <v>0</v>
      </c>
      <c r="P96" s="127">
        <v>0</v>
      </c>
      <c r="Q96" s="126">
        <v>0</v>
      </c>
      <c r="R96" s="127">
        <v>0</v>
      </c>
      <c r="S96" s="126">
        <v>0</v>
      </c>
      <c r="T96" s="127">
        <v>0</v>
      </c>
      <c r="U96" s="126">
        <f t="shared" si="32"/>
        <v>0</v>
      </c>
      <c r="V96" s="127">
        <f t="shared" si="33"/>
        <v>0</v>
      </c>
      <c r="W96" s="126">
        <f t="shared" si="34"/>
        <v>0</v>
      </c>
      <c r="X96" s="126">
        <f t="shared" si="35"/>
        <v>0</v>
      </c>
      <c r="Y96" s="126">
        <f t="shared" si="36"/>
        <v>0</v>
      </c>
      <c r="Z96" s="126">
        <f t="shared" si="37"/>
        <v>0</v>
      </c>
      <c r="AA96" s="128">
        <f t="shared" si="38"/>
        <v>0</v>
      </c>
      <c r="AB96" s="126">
        <f t="shared" si="39"/>
        <v>0</v>
      </c>
      <c r="AC96" s="126">
        <f t="shared" si="40"/>
        <v>0</v>
      </c>
      <c r="AD96" s="129" t="s">
        <v>2</v>
      </c>
      <c r="AE96" s="1"/>
      <c r="AF96" s="64"/>
      <c r="AG96" s="3"/>
      <c r="AH96" s="3"/>
      <c r="AI96" s="3"/>
      <c r="AJ96" s="65"/>
      <c r="AK96" s="65"/>
      <c r="AL96" s="65"/>
      <c r="AM96" s="66"/>
      <c r="AN96" s="43">
        <v>61841000</v>
      </c>
      <c r="AO96" s="29">
        <v>0</v>
      </c>
      <c r="AP96" s="8"/>
      <c r="AQ96" s="8"/>
      <c r="AR96" s="42"/>
      <c r="AS96" s="40"/>
      <c r="AT96" s="41"/>
      <c r="AU96" s="41"/>
      <c r="AV96" s="42"/>
    </row>
    <row r="97" spans="1:97" ht="15.75" x14ac:dyDescent="0.25">
      <c r="A97" s="145"/>
      <c r="B97" s="145"/>
      <c r="C97" s="145"/>
      <c r="D97" s="145"/>
      <c r="E97" s="145"/>
      <c r="F97" s="145"/>
      <c r="G97" s="145"/>
      <c r="H97" s="145"/>
      <c r="I97" s="145"/>
      <c r="J97" s="145"/>
      <c r="K97" s="145"/>
      <c r="L97" s="145"/>
      <c r="M97" s="145"/>
      <c r="N97" s="145"/>
      <c r="O97" s="145"/>
      <c r="P97" s="145"/>
      <c r="Q97" s="145"/>
      <c r="R97" s="145"/>
      <c r="S97" s="145" t="s">
        <v>171</v>
      </c>
      <c r="T97" s="145"/>
      <c r="U97" s="145"/>
      <c r="V97" s="145"/>
      <c r="W97" s="101">
        <f>SUM(W84:W96)/5</f>
        <v>7.8400000000000007</v>
      </c>
      <c r="X97" s="101">
        <f>SUM(X84:X96)/5</f>
        <v>62337.506225126199</v>
      </c>
      <c r="Y97" s="101">
        <f>SUM(Y84:Y96)/5</f>
        <v>45604.271372856623</v>
      </c>
      <c r="Z97" s="101">
        <f>SUM(Z84:Z96)/5</f>
        <v>7.8399999999999997E-2</v>
      </c>
      <c r="AA97" s="101"/>
      <c r="AB97" s="101">
        <f t="shared" ref="AB97:AC97" si="43">SUM(AB84:AB96)/13</f>
        <v>0</v>
      </c>
      <c r="AC97" s="101">
        <f t="shared" si="43"/>
        <v>0</v>
      </c>
      <c r="AD97" s="102"/>
      <c r="AE97" s="44"/>
      <c r="AF97" s="45"/>
      <c r="AG97" s="46">
        <f>COUNTIF(AG86:AG96,"√")</f>
        <v>0</v>
      </c>
      <c r="AH97" s="46">
        <f>COUNTIF(AH86:AH96,"√")</f>
        <v>7</v>
      </c>
      <c r="AI97" s="46">
        <f>COUNTIF(AI86:AI96,"√")</f>
        <v>5</v>
      </c>
      <c r="AJ97" s="46">
        <f>COUNTIF(AG86:AG96,"X")</f>
        <v>7</v>
      </c>
      <c r="AK97" s="46">
        <f>AJ97-AH97</f>
        <v>0</v>
      </c>
      <c r="AL97" s="46">
        <f>AJ97-AI97</f>
        <v>2</v>
      </c>
      <c r="AM97" s="47">
        <v>0</v>
      </c>
      <c r="AN97" s="48">
        <f>AN93+AN89+AN85</f>
        <v>531993200</v>
      </c>
      <c r="AO97" s="49">
        <f>AO93+AO89+AO85</f>
        <v>516972450</v>
      </c>
      <c r="AP97" s="49"/>
      <c r="AQ97" s="49"/>
      <c r="AR97" s="9"/>
      <c r="AS97" s="50"/>
      <c r="AT97" s="51"/>
      <c r="AU97" s="51"/>
      <c r="AV97" s="52"/>
      <c r="AW97" s="50"/>
      <c r="AZ97" s="53"/>
      <c r="BA97" s="53"/>
      <c r="BB97" s="195"/>
      <c r="BC97" s="53"/>
      <c r="BD97" s="53"/>
      <c r="BE97" s="53"/>
      <c r="BF97" s="53"/>
      <c r="BG97" s="53"/>
      <c r="BH97" s="53"/>
      <c r="BI97" s="53"/>
      <c r="BJ97" s="53"/>
      <c r="BK97" s="53"/>
      <c r="BL97" s="53"/>
      <c r="BM97" s="53"/>
      <c r="BN97" s="53"/>
      <c r="BO97" s="53"/>
      <c r="BP97" s="53"/>
      <c r="BQ97" s="53"/>
      <c r="BR97" s="53"/>
      <c r="BS97" s="53"/>
      <c r="BT97" s="53"/>
      <c r="BU97" s="53"/>
      <c r="BV97" s="53"/>
      <c r="BW97" s="53"/>
      <c r="BX97" s="53"/>
      <c r="BY97" s="53"/>
      <c r="BZ97" s="53"/>
      <c r="CA97" s="53"/>
      <c r="CB97" s="53"/>
      <c r="CC97" s="53"/>
      <c r="CD97" s="53"/>
      <c r="CE97" s="53"/>
      <c r="CF97" s="53"/>
      <c r="CG97" s="53"/>
      <c r="CH97" s="53"/>
      <c r="CI97" s="53"/>
      <c r="CJ97" s="53"/>
      <c r="CK97" s="53"/>
      <c r="CL97" s="53"/>
      <c r="CM97" s="53"/>
      <c r="CN97" s="53"/>
      <c r="CO97" s="53"/>
      <c r="CP97" s="53"/>
      <c r="CQ97" s="53"/>
      <c r="CR97" s="53"/>
      <c r="CS97" s="54"/>
    </row>
    <row r="98" spans="1:97" ht="15.75" x14ac:dyDescent="0.25">
      <c r="A98" s="145"/>
      <c r="B98" s="145"/>
      <c r="C98" s="145"/>
      <c r="D98" s="145"/>
      <c r="E98" s="145"/>
      <c r="F98" s="145"/>
      <c r="G98" s="145"/>
      <c r="H98" s="145"/>
      <c r="I98" s="145"/>
      <c r="J98" s="145"/>
      <c r="K98" s="145"/>
      <c r="L98" s="145"/>
      <c r="M98" s="145"/>
      <c r="N98" s="145"/>
      <c r="O98" s="145"/>
      <c r="P98" s="145"/>
      <c r="Q98" s="145"/>
      <c r="R98" s="145"/>
      <c r="S98" s="145" t="s">
        <v>172</v>
      </c>
      <c r="T98" s="145"/>
      <c r="U98" s="145"/>
      <c r="V98" s="145"/>
      <c r="W98" s="103" t="str">
        <f>IF(W97&gt;=91,"ST",IF(W97&gt;=76,"T",IF(W97&gt;=66,"S",IF(W97&gt;=51,"R","SR"))))</f>
        <v>SR</v>
      </c>
      <c r="X98" s="103" t="str">
        <f>IF(X97&gt;=91,"ST",IF(X97&gt;=76,"T",IF(X97&gt;=66,"S",IF(X97&gt;=51,"R","SR"))))</f>
        <v>ST</v>
      </c>
      <c r="Y98" s="103" t="str">
        <f>IF(Y97&gt;=91,"ST",IF(Y97&gt;=76,"T",IF(Y97&gt;=66,"S",IF(Y97&gt;=51,"R","SR"))))</f>
        <v>ST</v>
      </c>
      <c r="Z98" s="103" t="str">
        <f>IF(Z97&gt;=91,"ST",IF(Z97&gt;=76,"T",IF(Z97&gt;=66,"S",IF(Z97&gt;=51,"R","SR"))))</f>
        <v>SR</v>
      </c>
      <c r="AA98" s="104"/>
      <c r="AB98" s="103" t="str">
        <f>IF(AB97&gt;=91,"ST",IF(AB97&gt;=76,"T",IF(AB97&gt;=66,"S",IF(AB97&gt;=51,"R","SR"))))</f>
        <v>SR</v>
      </c>
      <c r="AC98" s="103" t="str">
        <f>IF(AC97&gt;=91,"ST",IF(AC97&gt;=76,"T",IF(AC97&gt;=66,"S",IF(AC97&gt;=51,"R","SR"))))</f>
        <v>SR</v>
      </c>
      <c r="AD98" s="102"/>
      <c r="AE98" s="55"/>
      <c r="AF98" s="13"/>
      <c r="AG98" s="56"/>
      <c r="AH98" s="56"/>
      <c r="AI98" s="56"/>
      <c r="AJ98" s="56"/>
      <c r="AK98" s="56"/>
      <c r="AL98" s="56"/>
      <c r="AM98" s="56"/>
      <c r="AN98" s="57">
        <f>AN97+AN82+AN67</f>
        <v>22658107508</v>
      </c>
      <c r="AO98" s="57">
        <f>AO97+AO82+AO67</f>
        <v>26117657811</v>
      </c>
      <c r="AP98" s="58"/>
      <c r="AQ98" s="58"/>
      <c r="AR98" s="9"/>
      <c r="AS98" s="20"/>
      <c r="AT98" s="21"/>
      <c r="AU98" s="21"/>
      <c r="AV98" s="22"/>
      <c r="AW98" s="59"/>
      <c r="AZ98" s="60"/>
      <c r="BA98" s="60"/>
      <c r="BB98" s="196"/>
      <c r="BC98" s="60"/>
      <c r="BD98" s="60"/>
      <c r="BE98" s="60"/>
      <c r="BF98" s="60"/>
      <c r="BG98" s="60"/>
      <c r="BH98" s="60"/>
      <c r="BI98" s="60"/>
      <c r="BJ98" s="60"/>
      <c r="BK98" s="60"/>
      <c r="BL98" s="60"/>
      <c r="BM98" s="60"/>
      <c r="BN98" s="60"/>
      <c r="BO98" s="60"/>
      <c r="BP98" s="60"/>
      <c r="BQ98" s="60"/>
      <c r="BR98" s="60"/>
      <c r="BS98" s="60"/>
      <c r="BT98" s="60"/>
      <c r="BU98" s="60"/>
      <c r="BV98" s="60"/>
      <c r="BW98" s="60"/>
      <c r="BX98" s="60"/>
      <c r="BY98" s="60"/>
      <c r="BZ98" s="60"/>
      <c r="CA98" s="60"/>
      <c r="CB98" s="60"/>
      <c r="CC98" s="60"/>
      <c r="CD98" s="60"/>
      <c r="CE98" s="60"/>
      <c r="CF98" s="60"/>
      <c r="CG98" s="60"/>
      <c r="CH98" s="60"/>
      <c r="CI98" s="60"/>
      <c r="CJ98" s="60"/>
      <c r="CK98" s="60"/>
      <c r="CL98" s="60"/>
      <c r="CM98" s="60"/>
      <c r="CN98" s="60"/>
      <c r="CO98" s="60"/>
      <c r="CP98" s="60"/>
      <c r="CQ98" s="60"/>
      <c r="CR98" s="60"/>
      <c r="CS98" s="61"/>
    </row>
    <row r="99" spans="1:97" ht="15.75" x14ac:dyDescent="0.25">
      <c r="A99" s="105"/>
      <c r="B99" s="105"/>
      <c r="C99" s="201" t="s">
        <v>251</v>
      </c>
      <c r="D99" s="201"/>
      <c r="E99" s="201"/>
      <c r="F99" s="201"/>
      <c r="G99" s="201"/>
      <c r="H99" s="201"/>
      <c r="I99" s="201"/>
      <c r="J99" s="201"/>
      <c r="K99" s="106">
        <f>SUM(K96,K95,K94,K92,K91,K90,K88,K87,K86,K81,K80,K79,K77,K76,K75,K73,K72,K71,K66,K65,K64,K62,K61,K60,K59,K58,K56,K55,K53,K51,K49,K48,K47,K46,K45,K43,K42,K41,K39,K38,K37,K36,K32,K31,K30,K29,K28,K27,K24,K22,K20,K19,K18,K16)</f>
        <v>22658107.508000001</v>
      </c>
      <c r="L99" s="106">
        <f>SUM(L96,L95,L94,L92,L91,L90,L88,L87,L86,L81,L80,L79,L77,L76,L75,L73,L72,L71,L66,L65,L64,L62,L61,L60,L59,L58,L56,L55,L53,L52,L51,L49,L48,L46,L45,L43,L42,L41,L40,L39,,L38,L37,L36,L35,L32,L31,L30,L29,L28,L27,L24,L22,L20,L19,L18,L16)</f>
        <v>26117657.810999997</v>
      </c>
      <c r="M99" s="107"/>
      <c r="N99" s="106">
        <f>SUM(N96,N95,N94,N92,N91,N90,N88,N87,N86,N81,N80,N79,N77,N76,N75,N73,N72,N71,N66,N65,N64,N62,N61,N60,N59,N58,N56,N55,N53,N52,N51,N49,N48,N46,N45,N43,N42,N41,N40,N39,,N38,N37,N36,N35,N32,N31,N30,N29,N28,N27,N24,N22,N20,N19,N18,N16)</f>
        <v>5874507.3619999997</v>
      </c>
      <c r="O99" s="145"/>
      <c r="P99" s="176">
        <f>SUM(P16:P96)</f>
        <v>5951861580</v>
      </c>
      <c r="Q99" s="145"/>
      <c r="R99" s="176">
        <f>SUM(R16:R96)</f>
        <v>11750348213</v>
      </c>
      <c r="S99" s="145"/>
      <c r="T99" s="145"/>
      <c r="U99" s="145"/>
      <c r="V99" s="106">
        <f>SUM(V96,V95,V94,V92,V91,V90,V88,V87,V86,V81,V80,V79,V77,V76,V75,V73,V72,V71,V66,V65,V64,V62,V61,V60,V59,V58,V56,V55,V53,V52,V51,V49,V48,V46,V45,V43,V42,V41,V40,V39,,V38,V37,V36,V35,V32,V31,V30,V29,V28,V27,V24,V22,V20,V19,V18,V16)</f>
        <v>17392731044.989002</v>
      </c>
      <c r="W99" s="108"/>
      <c r="X99" s="109"/>
      <c r="Y99" s="108"/>
      <c r="Z99" s="108"/>
      <c r="AA99" s="110"/>
      <c r="AB99" s="108"/>
      <c r="AC99" s="108"/>
      <c r="AD99" s="67"/>
      <c r="AE99" s="44"/>
      <c r="AF99" s="68"/>
      <c r="AG99" s="46" t="e">
        <f>AG97+AG87+AG75</f>
        <v>#VALUE!</v>
      </c>
      <c r="AH99" s="46" t="e">
        <f t="shared" ref="AH99:AM99" si="44">AH97+AH87+AH75</f>
        <v>#VALUE!</v>
      </c>
      <c r="AI99" s="46" t="e">
        <f t="shared" si="44"/>
        <v>#VALUE!</v>
      </c>
      <c r="AJ99" s="46">
        <f t="shared" si="44"/>
        <v>7</v>
      </c>
      <c r="AK99" s="46">
        <f t="shared" si="44"/>
        <v>0</v>
      </c>
      <c r="AL99" s="46">
        <f t="shared" si="44"/>
        <v>2</v>
      </c>
      <c r="AM99" s="46">
        <f t="shared" si="44"/>
        <v>0</v>
      </c>
      <c r="AN99" s="24"/>
      <c r="AO99" s="24"/>
      <c r="AP99" s="48"/>
      <c r="AQ99" s="48">
        <f>AO96+AO95+AO94+AO93+AO91+AO86+AO84+AO83+AO82+AO81+AO80+AO79+AO74+AO73+AO72+AO70+AO69+AO67+AO66+AO64+AO63+AO62+AO61+AO59+AO57+AO56+AO55+AO54+AO52</f>
        <v>33864440693</v>
      </c>
      <c r="AR99" s="69"/>
      <c r="AS99" s="70" t="s">
        <v>252</v>
      </c>
      <c r="AT99" s="51"/>
      <c r="AU99" s="51" t="e">
        <f>#REF!+#REF!</f>
        <v>#REF!</v>
      </c>
      <c r="AV99" s="51" t="e">
        <f>AO99+#REF!</f>
        <v>#REF!</v>
      </c>
      <c r="AW99" s="71">
        <f>V99</f>
        <v>17392731044.989002</v>
      </c>
      <c r="AY99" s="173">
        <f>SUM(AY16:AY95)</f>
        <v>5874507362</v>
      </c>
      <c r="AZ99" s="174">
        <f>SUM(AZ16:AZ95)</f>
        <v>11731956569</v>
      </c>
      <c r="BA99" s="174">
        <f>SUM(BA16:BA95)</f>
        <v>5951861580</v>
      </c>
      <c r="BB99" s="197">
        <f>SUM(BB16:BB95)</f>
        <v>17702209793</v>
      </c>
      <c r="BC99" s="197">
        <f>SUM(BC16:BC95)</f>
        <v>11750348213</v>
      </c>
      <c r="BD99" s="53"/>
      <c r="BE99" s="53"/>
      <c r="BF99" s="53"/>
      <c r="BG99" s="53"/>
      <c r="BH99" s="53"/>
      <c r="BI99" s="53"/>
      <c r="BJ99" s="53"/>
      <c r="BK99" s="53"/>
      <c r="BL99" s="53"/>
      <c r="BM99" s="53"/>
      <c r="BN99" s="53"/>
      <c r="BO99" s="53"/>
      <c r="BP99" s="53"/>
      <c r="BQ99" s="53"/>
      <c r="BR99" s="53"/>
      <c r="BS99" s="53"/>
      <c r="BT99" s="53"/>
      <c r="BU99" s="53"/>
      <c r="BV99" s="53"/>
      <c r="BW99" s="53"/>
      <c r="BX99" s="53"/>
      <c r="BY99" s="53"/>
      <c r="BZ99" s="53"/>
      <c r="CA99" s="53"/>
      <c r="CB99" s="53"/>
      <c r="CC99" s="53"/>
      <c r="CD99" s="53"/>
      <c r="CE99" s="53"/>
      <c r="CF99" s="53"/>
      <c r="CG99" s="53"/>
      <c r="CH99" s="53"/>
      <c r="CI99" s="53"/>
      <c r="CJ99" s="53"/>
      <c r="CK99" s="53"/>
      <c r="CL99" s="53"/>
      <c r="CM99" s="53"/>
      <c r="CN99" s="53"/>
      <c r="CO99" s="53"/>
      <c r="CP99" s="53"/>
      <c r="CQ99" s="53"/>
      <c r="CR99" s="53"/>
      <c r="CS99" s="54"/>
    </row>
    <row r="100" spans="1:97" ht="15.75" x14ac:dyDescent="0.25">
      <c r="A100" s="111"/>
      <c r="B100" s="111"/>
      <c r="C100" s="111"/>
      <c r="D100" s="111"/>
      <c r="E100" s="111"/>
      <c r="F100" s="111"/>
      <c r="G100" s="111"/>
      <c r="H100" s="111"/>
      <c r="I100" s="111"/>
      <c r="J100" s="111"/>
      <c r="K100" s="111"/>
      <c r="L100" s="111"/>
      <c r="M100" s="111"/>
      <c r="N100" s="111"/>
      <c r="O100" s="111"/>
      <c r="P100" s="111"/>
      <c r="Q100" s="111"/>
      <c r="R100" s="111"/>
      <c r="S100" s="111"/>
      <c r="T100" s="111"/>
      <c r="U100" s="111" t="s">
        <v>253</v>
      </c>
      <c r="V100" s="111"/>
      <c r="W100" s="101">
        <f>SUM(W97,W82,W67)/3</f>
        <v>12.936403508771932</v>
      </c>
      <c r="X100" s="101">
        <f t="shared" ref="X100:AC100" si="45">SUM(X97,X82,X67)/3</f>
        <v>105081.54800370774</v>
      </c>
      <c r="Y100" s="101">
        <f t="shared" si="45"/>
        <v>57929.983649239584</v>
      </c>
      <c r="Z100" s="101">
        <f>SUM(Z97,Z82,Z67)/3</f>
        <v>0.79677105263157888</v>
      </c>
      <c r="AA100" s="101"/>
      <c r="AB100" s="101">
        <f t="shared" si="45"/>
        <v>0</v>
      </c>
      <c r="AC100" s="101">
        <f t="shared" si="45"/>
        <v>0</v>
      </c>
      <c r="AD100" s="112"/>
      <c r="AE100" s="44"/>
      <c r="AF100" s="45"/>
      <c r="AG100" s="46">
        <v>0</v>
      </c>
      <c r="AH100" s="46">
        <v>3</v>
      </c>
      <c r="AI100" s="46">
        <v>3</v>
      </c>
      <c r="AJ100" s="46">
        <v>3</v>
      </c>
      <c r="AK100" s="72"/>
      <c r="AL100" s="72"/>
      <c r="AM100" s="73"/>
      <c r="AN100" s="74"/>
      <c r="AO100" s="75"/>
      <c r="AP100" s="75"/>
      <c r="AQ100" s="75"/>
      <c r="AR100" s="9"/>
      <c r="AS100" s="50"/>
      <c r="AT100" s="51"/>
      <c r="AU100" s="51"/>
      <c r="AV100" s="76"/>
      <c r="AW100" s="50"/>
      <c r="AX100" s="77"/>
      <c r="AY100" s="78"/>
      <c r="AZ100" s="79"/>
      <c r="BA100" s="53"/>
      <c r="BB100" s="195"/>
      <c r="BC100" s="53"/>
      <c r="BD100" s="53"/>
      <c r="BE100" s="53"/>
      <c r="BF100" s="53"/>
      <c r="BG100" s="53"/>
      <c r="BH100" s="53"/>
      <c r="BI100" s="53"/>
      <c r="BJ100" s="53"/>
      <c r="BK100" s="53"/>
      <c r="BL100" s="53"/>
      <c r="BM100" s="53"/>
      <c r="BN100" s="53"/>
      <c r="BO100" s="53"/>
      <c r="BP100" s="53"/>
      <c r="BQ100" s="53"/>
      <c r="BR100" s="53"/>
      <c r="BS100" s="53"/>
      <c r="BT100" s="53"/>
      <c r="BU100" s="53"/>
      <c r="BV100" s="53"/>
      <c r="BW100" s="53"/>
      <c r="BX100" s="53"/>
      <c r="BY100" s="53"/>
      <c r="BZ100" s="53"/>
      <c r="CA100" s="53"/>
      <c r="CB100" s="53"/>
      <c r="CC100" s="53"/>
      <c r="CD100" s="53"/>
      <c r="CE100" s="53"/>
      <c r="CF100" s="53"/>
      <c r="CG100" s="53"/>
      <c r="CH100" s="53"/>
      <c r="CI100" s="53"/>
      <c r="CJ100" s="53"/>
      <c r="CK100" s="53"/>
      <c r="CL100" s="53"/>
      <c r="CM100" s="53"/>
      <c r="CN100" s="53"/>
      <c r="CO100" s="53"/>
      <c r="CP100" s="53"/>
      <c r="CQ100" s="53"/>
      <c r="CR100" s="53"/>
      <c r="CS100" s="54"/>
    </row>
    <row r="101" spans="1:97" ht="15.75" x14ac:dyDescent="0.25">
      <c r="A101" s="105"/>
      <c r="B101" s="105"/>
      <c r="C101" s="105"/>
      <c r="D101" s="105"/>
      <c r="E101" s="105"/>
      <c r="F101" s="105"/>
      <c r="G101" s="105"/>
      <c r="H101" s="105"/>
      <c r="I101" s="105"/>
      <c r="J101" s="105"/>
      <c r="K101" s="105"/>
      <c r="L101" s="105"/>
      <c r="M101" s="105"/>
      <c r="N101" s="105"/>
      <c r="O101" s="105"/>
      <c r="P101" s="105"/>
      <c r="Q101" s="105"/>
      <c r="R101" s="105"/>
      <c r="S101" s="105"/>
      <c r="T101" s="105"/>
      <c r="U101" s="105" t="s">
        <v>254</v>
      </c>
      <c r="V101" s="105"/>
      <c r="W101" s="107" t="str">
        <f>IF(W100&gt;=91,"ST",IF(W100&gt;=76,"T",IF(W100&gt;=66,"S",IF(W100&gt;=51,"R","SR"))))</f>
        <v>SR</v>
      </c>
      <c r="X101" s="107" t="str">
        <f>IF(X100&gt;=91,"ST",IF(X100&gt;=76,"T",IF(X100&gt;=66,"S",IF(X100&gt;=51,"R","SR"))))</f>
        <v>ST</v>
      </c>
      <c r="Y101" s="107" t="str">
        <f>IF(Y100&gt;=91,"ST",IF(Y100&gt;=76,"T",IF(Y100&gt;=66,"S",IF(Y100&gt;=51,"R","SR"))))</f>
        <v>ST</v>
      </c>
      <c r="Z101" s="107" t="str">
        <f>IF(Z100&gt;=91,"ST",IF(Z100&gt;=76,"T",IF(Z100&gt;=66,"S",IF(Z100&gt;=51,"R","SR"))))</f>
        <v>SR</v>
      </c>
      <c r="AA101" s="113"/>
      <c r="AB101" s="107" t="str">
        <f>IF(AB100&gt;=91,"ST",IF(AB100&gt;=76,"T",IF(AB100&gt;=66,"S",IF(AB100&gt;=51,"R","SR"))))</f>
        <v>SR</v>
      </c>
      <c r="AC101" s="107" t="str">
        <f>IF(AC100&gt;=91,"ST",IF(AC100&gt;=76,"T",IF(AC100&gt;=66,"S",IF(AC100&gt;=51,"R","SR"))))</f>
        <v>SR</v>
      </c>
      <c r="AD101" s="102"/>
      <c r="AE101" s="44"/>
      <c r="AF101" s="45"/>
      <c r="AG101" s="73"/>
      <c r="AH101" s="46">
        <v>1</v>
      </c>
      <c r="AI101" s="46">
        <v>1</v>
      </c>
      <c r="AJ101" s="46">
        <v>1</v>
      </c>
      <c r="AK101" s="72"/>
      <c r="AL101" s="72"/>
      <c r="AM101" s="73"/>
      <c r="AN101" s="28"/>
      <c r="AO101" s="80"/>
      <c r="AP101" s="80"/>
      <c r="AQ101" s="80"/>
      <c r="AR101" s="9"/>
      <c r="AS101" s="81"/>
      <c r="AT101" s="51"/>
      <c r="AU101" s="51"/>
      <c r="AV101" s="82"/>
      <c r="AW101" s="50"/>
      <c r="AZ101" s="53"/>
      <c r="BA101" s="53"/>
      <c r="BB101" s="195"/>
      <c r="BC101" s="53"/>
      <c r="BD101" s="53"/>
      <c r="BE101" s="53"/>
      <c r="BF101" s="53"/>
      <c r="BG101" s="53"/>
      <c r="BH101" s="53"/>
      <c r="BI101" s="53"/>
      <c r="BJ101" s="53"/>
      <c r="BK101" s="53"/>
      <c r="BL101" s="53"/>
      <c r="BM101" s="53"/>
      <c r="BN101" s="53"/>
      <c r="BO101" s="53"/>
      <c r="BP101" s="53"/>
      <c r="BQ101" s="53"/>
      <c r="BR101" s="53"/>
      <c r="BS101" s="53"/>
      <c r="BT101" s="53"/>
      <c r="BU101" s="53"/>
      <c r="BV101" s="53"/>
      <c r="BW101" s="53"/>
      <c r="BX101" s="53"/>
      <c r="BY101" s="53"/>
      <c r="BZ101" s="53"/>
      <c r="CA101" s="53"/>
      <c r="CB101" s="53"/>
      <c r="CC101" s="53"/>
      <c r="CD101" s="53"/>
      <c r="CE101" s="53"/>
      <c r="CF101" s="53"/>
      <c r="CG101" s="53"/>
      <c r="CH101" s="53"/>
      <c r="CI101" s="53"/>
      <c r="CJ101" s="53"/>
      <c r="CK101" s="53"/>
      <c r="CL101" s="53"/>
      <c r="CM101" s="53"/>
      <c r="CN101" s="53"/>
      <c r="CO101" s="53"/>
      <c r="CP101" s="53"/>
      <c r="CQ101" s="53"/>
      <c r="CR101" s="53"/>
      <c r="CS101" s="54"/>
    </row>
    <row r="103" spans="1:97" ht="18.75" x14ac:dyDescent="0.25">
      <c r="Z103" s="198" t="s">
        <v>300</v>
      </c>
      <c r="AA103" s="198"/>
      <c r="AB103" s="198"/>
      <c r="AC103" s="198"/>
      <c r="AD103" s="198"/>
    </row>
    <row r="104" spans="1:97" ht="18.75" x14ac:dyDescent="0.25">
      <c r="Z104" s="177" t="s">
        <v>291</v>
      </c>
      <c r="AA104" s="177"/>
      <c r="AB104" s="177"/>
      <c r="AC104" s="177"/>
      <c r="AD104" s="177"/>
    </row>
    <row r="105" spans="1:97" ht="18.75" x14ac:dyDescent="0.25">
      <c r="Z105" s="177"/>
      <c r="AA105" s="177"/>
      <c r="AB105" s="177"/>
      <c r="AC105" s="177"/>
      <c r="AD105" s="177"/>
    </row>
    <row r="106" spans="1:97" ht="18.75" x14ac:dyDescent="0.25">
      <c r="Z106" s="177"/>
      <c r="AA106" s="177"/>
      <c r="AB106" s="177"/>
      <c r="AC106" s="177"/>
      <c r="AD106" s="177"/>
    </row>
    <row r="107" spans="1:97" ht="18.75" x14ac:dyDescent="0.25">
      <c r="Z107" s="177"/>
      <c r="AA107" s="177"/>
      <c r="AB107" s="177"/>
      <c r="AC107" s="177"/>
      <c r="AD107" s="177"/>
    </row>
    <row r="108" spans="1:97" ht="18.75" x14ac:dyDescent="0.3">
      <c r="Z108" s="178" t="s">
        <v>292</v>
      </c>
      <c r="AA108" s="178"/>
      <c r="AB108" s="178"/>
      <c r="AC108" s="178"/>
      <c r="AD108" s="178"/>
    </row>
    <row r="109" spans="1:97" ht="18.75" x14ac:dyDescent="0.25">
      <c r="Z109" s="198" t="s">
        <v>293</v>
      </c>
      <c r="AA109" s="198"/>
      <c r="AB109" s="198"/>
      <c r="AC109" s="198"/>
      <c r="AD109" s="198"/>
    </row>
    <row r="110" spans="1:97" ht="18.75" x14ac:dyDescent="0.25">
      <c r="Z110" s="198" t="s">
        <v>294</v>
      </c>
      <c r="AA110" s="198"/>
      <c r="AB110" s="198"/>
      <c r="AC110" s="198"/>
      <c r="AD110" s="198"/>
    </row>
  </sheetData>
  <autoFilter ref="B10:AD101"/>
  <mergeCells count="54">
    <mergeCell ref="X8:X9"/>
    <mergeCell ref="Y8:Y9"/>
    <mergeCell ref="Q6:R7"/>
    <mergeCell ref="S6:T7"/>
    <mergeCell ref="U6:U7"/>
    <mergeCell ref="V6:V7"/>
    <mergeCell ref="W5:Y5"/>
    <mergeCell ref="Z5:AA5"/>
    <mergeCell ref="AB5:AC5"/>
    <mergeCell ref="AD5:AD9"/>
    <mergeCell ref="AA6:AA7"/>
    <mergeCell ref="AB6:AB7"/>
    <mergeCell ref="AC6:AC7"/>
    <mergeCell ref="Z6:Z7"/>
    <mergeCell ref="AA8:AA9"/>
    <mergeCell ref="AB8:AB9"/>
    <mergeCell ref="AC8:AC9"/>
    <mergeCell ref="Z8:Z9"/>
    <mergeCell ref="W6:W7"/>
    <mergeCell ref="X6:X7"/>
    <mergeCell ref="Y6:Y7"/>
    <mergeCell ref="W8:W9"/>
    <mergeCell ref="M5:T5"/>
    <mergeCell ref="U5:V5"/>
    <mergeCell ref="J6:J9"/>
    <mergeCell ref="K6:K7"/>
    <mergeCell ref="L6:L7"/>
    <mergeCell ref="M6:N7"/>
    <mergeCell ref="O6:P7"/>
    <mergeCell ref="K8:K9"/>
    <mergeCell ref="L8:L9"/>
    <mergeCell ref="M8:M9"/>
    <mergeCell ref="N8:N9"/>
    <mergeCell ref="O8:O9"/>
    <mergeCell ref="Q8:Q9"/>
    <mergeCell ref="S8:S9"/>
    <mergeCell ref="U8:U9"/>
    <mergeCell ref="V8:V9"/>
    <mergeCell ref="Z103:AD103"/>
    <mergeCell ref="Z109:AD109"/>
    <mergeCell ref="Z110:AD110"/>
    <mergeCell ref="A1:AJ1"/>
    <mergeCell ref="A2:AJ2"/>
    <mergeCell ref="A4:AJ4"/>
    <mergeCell ref="C99:J99"/>
    <mergeCell ref="A5:A9"/>
    <mergeCell ref="B5:B9"/>
    <mergeCell ref="C5:C9"/>
    <mergeCell ref="D5:D9"/>
    <mergeCell ref="E5:E9"/>
    <mergeCell ref="F5:G5"/>
    <mergeCell ref="H5:I5"/>
    <mergeCell ref="J5:L5"/>
    <mergeCell ref="AE5:AE9"/>
  </mergeCells>
  <pageMargins left="0.70866141732283472" right="0.70866141732283472" top="0.74803149606299213" bottom="0.74803149606299213" header="0.31496062992125984" footer="0.31496062992125984"/>
  <pageSetup paperSize="5" scale="45"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abdul basid</dc:creator>
  <cp:lastModifiedBy>DELL</cp:lastModifiedBy>
  <cp:lastPrinted>2024-07-24T03:16:44Z</cp:lastPrinted>
  <dcterms:created xsi:type="dcterms:W3CDTF">2024-07-16T08:01:52Z</dcterms:created>
  <dcterms:modified xsi:type="dcterms:W3CDTF">2024-10-09T02:38:11Z</dcterms:modified>
</cp:coreProperties>
</file>