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activeTab="28"/>
  </bookViews>
  <sheets>
    <sheet name="LPR1" sheetId="92" r:id="rId1"/>
    <sheet name="lPR2" sheetId="58" r:id="rId2"/>
    <sheet name="RAB 2.2.15 (2)" sheetId="91" r:id="rId3"/>
    <sheet name="RAB 2.2.7 (2)" sheetId="90" r:id="rId4"/>
    <sheet name="RAB 2.2.3... (2)" sheetId="88" r:id="rId5"/>
    <sheet name="RAB 2.1.1OKE" sheetId="5" r:id="rId6"/>
    <sheet name="RAB 2.1.2 OKE" sheetId="16" r:id="rId7"/>
    <sheet name="RAB 2.1.3  OKE" sheetId="17" r:id="rId8"/>
    <sheet name="RAB 2.1.4  OKE" sheetId="60" r:id="rId9"/>
    <sheet name="RAB 2.1.5 OKE " sheetId="59" r:id="rId10"/>
    <sheet name="RAB 2.1.8" sheetId="68" r:id="rId11"/>
    <sheet name="RAB 2.1.9 OKE " sheetId="83" r:id="rId12"/>
    <sheet name="RAB 2.1.10" sheetId="24" r:id="rId13"/>
    <sheet name="RAB 2.1.12" sheetId="61" r:id="rId14"/>
    <sheet name="RAB 2.1.13" sheetId="62" r:id="rId15"/>
    <sheet name="RAB 2.1.14 " sheetId="85" r:id="rId16"/>
    <sheet name="RAB 2.1.15" sheetId="84" r:id="rId17"/>
    <sheet name="RAB 2.1.16" sheetId="74" r:id="rId18"/>
    <sheet name="RAB 2.2.1." sheetId="44" r:id="rId19"/>
    <sheet name="RAB 2.2.3..." sheetId="81" r:id="rId20"/>
    <sheet name="RAB 2.2.5" sheetId="80" r:id="rId21"/>
    <sheet name="RAB 2.2.6" sheetId="79" r:id="rId22"/>
    <sheet name="RAB 2.2.7" sheetId="71" r:id="rId23"/>
    <sheet name="RAB 2.2.15" sheetId="43" r:id="rId24"/>
    <sheet name="RAB 2.2.16" sheetId="77" r:id="rId25"/>
    <sheet name="RAB 2.3.1OKE" sheetId="22" r:id="rId26"/>
    <sheet name="RAB 2.3.2 OKE" sheetId="23" r:id="rId27"/>
    <sheet name="RAB 2.3.4 OKE" sheetId="25" r:id="rId28"/>
    <sheet name="RAB 2.3.6" sheetId="11" r:id="rId29"/>
    <sheet name="RAB 2.3.8 OKE " sheetId="76" r:id="rId30"/>
    <sheet name="RAB 2.3.9 OKE" sheetId="39" r:id="rId31"/>
    <sheet name="RAB 2.4.7 OKE" sheetId="82" r:id="rId32"/>
    <sheet name="RAB 2.4.13 OKE" sheetId="89" r:id="rId33"/>
    <sheet name="RAB 2.4.9 OKE " sheetId="67" r:id="rId34"/>
    <sheet name="APBDESA 16.." sheetId="70" r:id="rId35"/>
    <sheet name="Nama Kegiatan 2016" sheetId="66" r:id="rId36"/>
    <sheet name="Nama Kegiatan" sheetId="26" r:id="rId37"/>
    <sheet name="Sheet1" sheetId="37" r:id="rId38"/>
    <sheet name="Sheet6" sheetId="69" r:id="rId39"/>
  </sheets>
  <externalReferences>
    <externalReference r:id="rId40"/>
    <externalReference r:id="rId41"/>
  </externalReferences>
  <definedNames>
    <definedName name="_xlnm.Print_Area" localSheetId="34">'APBDESA 16..'!$A$1:$O$498</definedName>
    <definedName name="_xlnm.Print_Area" localSheetId="0">'LPR1'!$A$1:$Q$496</definedName>
    <definedName name="_xlnm.Print_Area" localSheetId="12">'RAB 2.1.10'!$A$1:$Q$64</definedName>
    <definedName name="_xlnm.Print_Area" localSheetId="13">'RAB 2.1.12'!$A$1:$Q$60</definedName>
    <definedName name="_xlnm.Print_Area" localSheetId="14">'RAB 2.1.13'!$A$1:$Q$64</definedName>
    <definedName name="_xlnm.Print_Area" localSheetId="15">'RAB 2.1.14 '!$A$1:$Q$61</definedName>
    <definedName name="_xlnm.Print_Area" localSheetId="16">'RAB 2.1.15'!$A$1:$Q$64</definedName>
    <definedName name="_xlnm.Print_Area" localSheetId="17">'RAB 2.1.16'!$A$1:$Q$66</definedName>
    <definedName name="_xlnm.Print_Area" localSheetId="5">'RAB 2.1.1OKE'!$A$1:$R$46</definedName>
    <definedName name="_xlnm.Print_Area" localSheetId="6">'RAB 2.1.2 OKE'!$A$1:$R$131</definedName>
    <definedName name="_xlnm.Print_Area" localSheetId="7">'RAB 2.1.3  OKE'!$A$1:$O$60</definedName>
    <definedName name="_xlnm.Print_Area" localSheetId="8">'RAB 2.1.4  OKE'!$A$1:$O$39</definedName>
    <definedName name="_xlnm.Print_Area" localSheetId="9">'RAB 2.1.5 OKE '!$A$1:$P$43</definedName>
    <definedName name="_xlnm.Print_Area" localSheetId="10">'RAB 2.1.8'!$A$1:$U$48</definedName>
    <definedName name="_xlnm.Print_Area" localSheetId="11">'RAB 2.1.9 OKE '!$A$1:$P$43</definedName>
    <definedName name="_xlnm.Print_Area" localSheetId="23">'RAB 2.2.15'!$A$1:$S$108</definedName>
    <definedName name="_xlnm.Print_Area" localSheetId="2">'RAB 2.2.15 (2)'!$A$1:$S$96</definedName>
    <definedName name="_xlnm.Print_Area" localSheetId="24">'RAB 2.2.16'!$A$1:$S$129</definedName>
    <definedName name="_xlnm.Print_Area" localSheetId="19">'RAB 2.2.3...'!$B$1:$S$50</definedName>
    <definedName name="_xlnm.Print_Area" localSheetId="4">'RAB 2.2.3... (2)'!$B$1:$S$66</definedName>
    <definedName name="_xlnm.Print_Area" localSheetId="20">'RAB 2.2.5'!$A$1:$S$63</definedName>
    <definedName name="_xlnm.Print_Area" localSheetId="21">'RAB 2.2.6'!$A$1:$S$111</definedName>
    <definedName name="_xlnm.Print_Area" localSheetId="22">'RAB 2.2.7'!$A$1:$Q$72</definedName>
    <definedName name="_xlnm.Print_Area" localSheetId="3">'RAB 2.2.7 (2)'!$A$1:$Q$69</definedName>
    <definedName name="_xlnm.Print_Area" localSheetId="27">'RAB 2.3.4 OKE'!$A$1:$Q$39</definedName>
    <definedName name="_xlnm.Print_Area" localSheetId="28">'RAB 2.3.6'!$A$1:$Q$57</definedName>
    <definedName name="_xlnm.Print_Area" localSheetId="29">'RAB 2.3.8 OKE '!$A$1:$Q$48</definedName>
    <definedName name="_xlnm.Print_Area" localSheetId="30">'RAB 2.3.9 OKE'!$A$1:$Q$48</definedName>
    <definedName name="_xlnm.Print_Area" localSheetId="32">'RAB 2.4.13 OKE'!$A$1:$Q$75</definedName>
    <definedName name="_xlnm.Print_Area" localSheetId="31">'RAB 2.4.7 OKE'!$A$1:$Q$45</definedName>
    <definedName name="_xlnm.Print_Area" localSheetId="33">'RAB 2.4.9 OKE '!$A$1:$Q$51</definedName>
    <definedName name="_xlnm.Print_Titles" localSheetId="34">'APBDESA 16..'!$11:$13</definedName>
    <definedName name="_xlnm.Print_Titles" localSheetId="0">'LPR1'!$9:$11</definedName>
    <definedName name="_xlnm.Print_Titles" localSheetId="12">'RAB 2.1.10'!$13:$15</definedName>
    <definedName name="_xlnm.Print_Titles" localSheetId="13">'RAB 2.1.12'!$13:$15</definedName>
    <definedName name="_xlnm.Print_Titles" localSheetId="14">'RAB 2.1.13'!$13:$15</definedName>
    <definedName name="_xlnm.Print_Titles" localSheetId="15">'RAB 2.1.14 '!$13:$15</definedName>
    <definedName name="_xlnm.Print_Titles" localSheetId="16">'RAB 2.1.15'!$13:$15</definedName>
    <definedName name="_xlnm.Print_Titles" localSheetId="17">'RAB 2.1.16'!$13:$15</definedName>
    <definedName name="_xlnm.Print_Titles" localSheetId="5">'RAB 2.1.1OKE'!$13:$15</definedName>
    <definedName name="_xlnm.Print_Titles" localSheetId="6">'RAB 2.1.2 OKE'!$12:$14</definedName>
    <definedName name="_xlnm.Print_Titles" localSheetId="7">'RAB 2.1.3  OKE'!$12:$14</definedName>
    <definedName name="_xlnm.Print_Titles" localSheetId="8">'RAB 2.1.4  OKE'!$12:$14</definedName>
    <definedName name="_xlnm.Print_Titles" localSheetId="9">'RAB 2.1.5 OKE '!$13:$15</definedName>
    <definedName name="_xlnm.Print_Titles" localSheetId="10">'RAB 2.1.8'!$13:$15</definedName>
    <definedName name="_xlnm.Print_Titles" localSheetId="11">'RAB 2.1.9 OKE '!$13:$15</definedName>
    <definedName name="_xlnm.Print_Titles" localSheetId="18">'RAB 2.2.1.'!$15:$17</definedName>
    <definedName name="_xlnm.Print_Titles" localSheetId="23">'RAB 2.2.15'!$14:$16</definedName>
    <definedName name="_xlnm.Print_Titles" localSheetId="2">'RAB 2.2.15 (2)'!$14:$16</definedName>
    <definedName name="_xlnm.Print_Titles" localSheetId="24">'RAB 2.2.16'!$15:$17</definedName>
    <definedName name="_xlnm.Print_Titles" localSheetId="19">'RAB 2.2.3...'!$15:$17</definedName>
    <definedName name="_xlnm.Print_Titles" localSheetId="4">'RAB 2.2.3... (2)'!$15:$17</definedName>
    <definedName name="_xlnm.Print_Titles" localSheetId="20">'RAB 2.2.5'!$14:$16</definedName>
    <definedName name="_xlnm.Print_Titles" localSheetId="21">'RAB 2.2.6'!$14:$16</definedName>
    <definedName name="_xlnm.Print_Titles" localSheetId="22">'RAB 2.2.7'!$13:$15</definedName>
    <definedName name="_xlnm.Print_Titles" localSheetId="3">'RAB 2.2.7 (2)'!$13:$15</definedName>
    <definedName name="_xlnm.Print_Titles" localSheetId="25">'RAB 2.3.1OKE'!$12:$14</definedName>
    <definedName name="_xlnm.Print_Titles" localSheetId="26">'RAB 2.3.2 OKE'!$12:$14</definedName>
    <definedName name="_xlnm.Print_Titles" localSheetId="27">'RAB 2.3.4 OKE'!$12:$14</definedName>
    <definedName name="_xlnm.Print_Titles" localSheetId="28">'RAB 2.3.6'!$12:$14</definedName>
    <definedName name="_xlnm.Print_Titles" localSheetId="29">'RAB 2.3.8 OKE '!$13:$15</definedName>
    <definedName name="_xlnm.Print_Titles" localSheetId="30">'RAB 2.3.9 OKE'!$13:$15</definedName>
    <definedName name="_xlnm.Print_Titles" localSheetId="32">'RAB 2.4.13 OKE'!$13:$15</definedName>
    <definedName name="_xlnm.Print_Titles" localSheetId="31">'RAB 2.4.7 OKE'!$13:$15</definedName>
    <definedName name="_xlnm.Print_Titles" localSheetId="33">'RAB 2.4.9 OKE '!$13:$15</definedName>
  </definedNames>
  <calcPr calcId="124519"/>
</workbook>
</file>

<file path=xl/calcChain.xml><?xml version="1.0" encoding="utf-8"?>
<calcChain xmlns="http://schemas.openxmlformats.org/spreadsheetml/2006/main">
  <c r="T19" i="11"/>
  <c r="T18" i="39"/>
  <c r="O407" i="92"/>
  <c r="U16" i="25"/>
  <c r="O406" i="92"/>
  <c r="O409"/>
  <c r="U19" i="25"/>
  <c r="U20"/>
  <c r="O424" i="92"/>
  <c r="O423" s="1"/>
  <c r="U15" i="25"/>
  <c r="O146" i="92"/>
  <c r="O147"/>
  <c r="O151"/>
  <c r="O150"/>
  <c r="O149"/>
  <c r="O148"/>
  <c r="O92"/>
  <c r="O93"/>
  <c r="O85"/>
  <c r="O86"/>
  <c r="O90"/>
  <c r="O89"/>
  <c r="O88"/>
  <c r="O87"/>
  <c r="N87"/>
  <c r="O43"/>
  <c r="T28" i="5"/>
  <c r="T24"/>
  <c r="T18"/>
  <c r="T19"/>
  <c r="O23" i="92"/>
  <c r="P23" s="1"/>
  <c r="P28"/>
  <c r="O28"/>
  <c r="S190" i="58"/>
  <c r="C190"/>
  <c r="S189"/>
  <c r="C189"/>
  <c r="S188"/>
  <c r="C188"/>
  <c r="S187"/>
  <c r="C187"/>
  <c r="S186"/>
  <c r="C186"/>
  <c r="S185"/>
  <c r="C185"/>
  <c r="S184"/>
  <c r="C184"/>
  <c r="S183"/>
  <c r="C183"/>
  <c r="R182"/>
  <c r="Q182"/>
  <c r="S182" s="1"/>
  <c r="S181"/>
  <c r="C181"/>
  <c r="S180"/>
  <c r="C180"/>
  <c r="R179"/>
  <c r="Q179"/>
  <c r="Q178" s="1"/>
  <c r="S178" s="1"/>
  <c r="R178"/>
  <c r="S176"/>
  <c r="R175"/>
  <c r="R174" s="1"/>
  <c r="R173" s="1"/>
  <c r="Q175"/>
  <c r="S175" s="1"/>
  <c r="S171"/>
  <c r="R170"/>
  <c r="R169" s="1"/>
  <c r="Q170"/>
  <c r="S167"/>
  <c r="C167"/>
  <c r="S166"/>
  <c r="C166"/>
  <c r="S165"/>
  <c r="C165"/>
  <c r="S164"/>
  <c r="C164"/>
  <c r="S163"/>
  <c r="C163"/>
  <c r="S162"/>
  <c r="C162"/>
  <c r="R161"/>
  <c r="R160" s="1"/>
  <c r="Q161"/>
  <c r="Q160"/>
  <c r="S160" s="1"/>
  <c r="S158"/>
  <c r="S157"/>
  <c r="R156"/>
  <c r="R155" s="1"/>
  <c r="Q156"/>
  <c r="S156" s="1"/>
  <c r="S153"/>
  <c r="C153"/>
  <c r="S152"/>
  <c r="C152"/>
  <c r="S151"/>
  <c r="C151"/>
  <c r="R150"/>
  <c r="R149" s="1"/>
  <c r="Q150"/>
  <c r="S150" s="1"/>
  <c r="S147"/>
  <c r="R146"/>
  <c r="Q146"/>
  <c r="Q145" s="1"/>
  <c r="R145"/>
  <c r="R144" s="1"/>
  <c r="S142"/>
  <c r="R141"/>
  <c r="Q141"/>
  <c r="S140"/>
  <c r="S139"/>
  <c r="S138"/>
  <c r="S137"/>
  <c r="R136"/>
  <c r="R135" s="1"/>
  <c r="Q136"/>
  <c r="Q135"/>
  <c r="S135" s="1"/>
  <c r="S134"/>
  <c r="C134"/>
  <c r="S133"/>
  <c r="C133"/>
  <c r="S132"/>
  <c r="C132"/>
  <c r="R131"/>
  <c r="Q131"/>
  <c r="S131" s="1"/>
  <c r="S130"/>
  <c r="C130"/>
  <c r="S129"/>
  <c r="C129"/>
  <c r="R128"/>
  <c r="Q128"/>
  <c r="Q127" s="1"/>
  <c r="R127"/>
  <c r="R126" s="1"/>
  <c r="S124"/>
  <c r="C124"/>
  <c r="S123"/>
  <c r="C123"/>
  <c r="S122"/>
  <c r="C122"/>
  <c r="S121"/>
  <c r="C121"/>
  <c r="S120"/>
  <c r="C120"/>
  <c r="S119"/>
  <c r="C119"/>
  <c r="S118"/>
  <c r="C118"/>
  <c r="S117"/>
  <c r="C117"/>
  <c r="S116"/>
  <c r="C116"/>
  <c r="S115"/>
  <c r="C115"/>
  <c r="S114"/>
  <c r="C114"/>
  <c r="R113"/>
  <c r="Q113"/>
  <c r="S113" s="1"/>
  <c r="S112"/>
  <c r="C112"/>
  <c r="R111"/>
  <c r="Q111"/>
  <c r="S111" s="1"/>
  <c r="C111"/>
  <c r="S110"/>
  <c r="C110"/>
  <c r="R109"/>
  <c r="Q109"/>
  <c r="C109"/>
  <c r="S108"/>
  <c r="C108"/>
  <c r="R107"/>
  <c r="Q107"/>
  <c r="S107" s="1"/>
  <c r="C107"/>
  <c r="R106"/>
  <c r="C104"/>
  <c r="C103"/>
  <c r="R102"/>
  <c r="Q102"/>
  <c r="C102"/>
  <c r="R98"/>
  <c r="Q98"/>
  <c r="R88"/>
  <c r="Q88"/>
  <c r="R81"/>
  <c r="Q81"/>
  <c r="R75"/>
  <c r="Q75"/>
  <c r="R68"/>
  <c r="Q68"/>
  <c r="R65"/>
  <c r="Q65"/>
  <c r="R64"/>
  <c r="Q64"/>
  <c r="D63"/>
  <c r="R62"/>
  <c r="Q62"/>
  <c r="D61"/>
  <c r="C60"/>
  <c r="C59"/>
  <c r="R58"/>
  <c r="Q58"/>
  <c r="R57"/>
  <c r="Q57"/>
  <c r="R54"/>
  <c r="Q54"/>
  <c r="R53"/>
  <c r="Q53"/>
  <c r="R48"/>
  <c r="Q48"/>
  <c r="R47"/>
  <c r="Q47"/>
  <c r="R40"/>
  <c r="Q40"/>
  <c r="R39"/>
  <c r="Q39"/>
  <c r="C37"/>
  <c r="C36"/>
  <c r="R32"/>
  <c r="Q32"/>
  <c r="R24"/>
  <c r="Q24"/>
  <c r="R23"/>
  <c r="Q23"/>
  <c r="R18"/>
  <c r="Q18"/>
  <c r="R17"/>
  <c r="Q17"/>
  <c r="R16"/>
  <c r="Q16"/>
  <c r="R13"/>
  <c r="S13" s="1"/>
  <c r="R12"/>
  <c r="S12" s="1"/>
  <c r="R11"/>
  <c r="S11" s="1"/>
  <c r="Q10"/>
  <c r="Q9" s="1"/>
  <c r="N475" i="92"/>
  <c r="N472"/>
  <c r="S471"/>
  <c r="T467"/>
  <c r="N467"/>
  <c r="N471" s="1"/>
  <c r="N466" s="1"/>
  <c r="N462"/>
  <c r="G462"/>
  <c r="N461"/>
  <c r="G461"/>
  <c r="N460"/>
  <c r="G460"/>
  <c r="N459"/>
  <c r="G459"/>
  <c r="N458"/>
  <c r="G458"/>
  <c r="N457"/>
  <c r="N445"/>
  <c r="G445"/>
  <c r="N444"/>
  <c r="G444"/>
  <c r="N443"/>
  <c r="G443"/>
  <c r="N442"/>
  <c r="N441"/>
  <c r="N440"/>
  <c r="N439"/>
  <c r="N438"/>
  <c r="N437"/>
  <c r="N436"/>
  <c r="N435" s="1"/>
  <c r="N434" s="1"/>
  <c r="N433" s="1"/>
  <c r="N431"/>
  <c r="N430" s="1"/>
  <c r="N429" s="1"/>
  <c r="N425"/>
  <c r="N424" s="1"/>
  <c r="N423" s="1"/>
  <c r="N421"/>
  <c r="N420" s="1"/>
  <c r="N419" s="1"/>
  <c r="N417"/>
  <c r="F417"/>
  <c r="N416"/>
  <c r="N415"/>
  <c r="F415"/>
  <c r="N411"/>
  <c r="N410"/>
  <c r="N408"/>
  <c r="N404"/>
  <c r="N403"/>
  <c r="N402"/>
  <c r="N400"/>
  <c r="N399" s="1"/>
  <c r="N396"/>
  <c r="N395" s="1"/>
  <c r="N394" s="1"/>
  <c r="N385"/>
  <c r="F385"/>
  <c r="N384"/>
  <c r="F384"/>
  <c r="N383"/>
  <c r="F383"/>
  <c r="N382"/>
  <c r="F382"/>
  <c r="N381"/>
  <c r="F381"/>
  <c r="N380"/>
  <c r="F380"/>
  <c r="N379"/>
  <c r="F379"/>
  <c r="N378"/>
  <c r="F378"/>
  <c r="N377"/>
  <c r="F377"/>
  <c r="N375"/>
  <c r="F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 s="1"/>
  <c r="N331" s="1"/>
  <c r="F332"/>
  <c r="N330"/>
  <c r="F330"/>
  <c r="N329"/>
  <c r="F329"/>
  <c r="N328"/>
  <c r="F328"/>
  <c r="N327"/>
  <c r="F327"/>
  <c r="S317"/>
  <c r="N317"/>
  <c r="F317"/>
  <c r="N316"/>
  <c r="F316"/>
  <c r="N315"/>
  <c r="F315"/>
  <c r="F314"/>
  <c r="N310"/>
  <c r="F310"/>
  <c r="N309"/>
  <c r="F309"/>
  <c r="N308"/>
  <c r="F308"/>
  <c r="N307"/>
  <c r="F307"/>
  <c r="N306"/>
  <c r="F306"/>
  <c r="N305"/>
  <c r="F305"/>
  <c r="N304"/>
  <c r="F304"/>
  <c r="N303"/>
  <c r="F303"/>
  <c r="N302"/>
  <c r="F302"/>
  <c r="N301"/>
  <c r="F301"/>
  <c r="N300"/>
  <c r="F300"/>
  <c r="N299"/>
  <c r="F299"/>
  <c r="N298"/>
  <c r="F298"/>
  <c r="N297"/>
  <c r="F297"/>
  <c r="N296"/>
  <c r="F296"/>
  <c r="N295"/>
  <c r="F295"/>
  <c r="N294"/>
  <c r="F294"/>
  <c r="N293"/>
  <c r="F293"/>
  <c r="N292"/>
  <c r="F292"/>
  <c r="N291"/>
  <c r="F291"/>
  <c r="N290"/>
  <c r="F290"/>
  <c r="N289"/>
  <c r="F289"/>
  <c r="N288"/>
  <c r="F288"/>
  <c r="N287"/>
  <c r="F287"/>
  <c r="N286"/>
  <c r="F286"/>
  <c r="N285"/>
  <c r="F285"/>
  <c r="N284"/>
  <c r="F284"/>
  <c r="N283"/>
  <c r="F283"/>
  <c r="N282"/>
  <c r="F282"/>
  <c r="N281"/>
  <c r="F281"/>
  <c r="F280"/>
  <c r="N279"/>
  <c r="F279"/>
  <c r="N278"/>
  <c r="F278"/>
  <c r="N277"/>
  <c r="F277"/>
  <c r="N276"/>
  <c r="F276"/>
  <c r="N275"/>
  <c r="F275"/>
  <c r="N274"/>
  <c r="F274"/>
  <c r="N273"/>
  <c r="F273"/>
  <c r="N272"/>
  <c r="F272"/>
  <c r="N271"/>
  <c r="F271"/>
  <c r="N270"/>
  <c r="F270"/>
  <c r="N267"/>
  <c r="F267"/>
  <c r="N266"/>
  <c r="F266"/>
  <c r="N265"/>
  <c r="F265"/>
  <c r="N263"/>
  <c r="N251"/>
  <c r="N250" s="1"/>
  <c r="N249"/>
  <c r="N248"/>
  <c r="N247"/>
  <c r="N246" s="1"/>
  <c r="N245"/>
  <c r="N244" s="1"/>
  <c r="N243"/>
  <c r="N242" s="1"/>
  <c r="N238"/>
  <c r="F238"/>
  <c r="N237"/>
  <c r="F237"/>
  <c r="N236"/>
  <c r="F236"/>
  <c r="N235"/>
  <c r="F235"/>
  <c r="N234"/>
  <c r="F234"/>
  <c r="N233"/>
  <c r="F233"/>
  <c r="N232"/>
  <c r="F232"/>
  <c r="N231"/>
  <c r="F231"/>
  <c r="N230"/>
  <c r="F230"/>
  <c r="N229"/>
  <c r="F229"/>
  <c r="N228"/>
  <c r="F228"/>
  <c r="N227"/>
  <c r="F227"/>
  <c r="N226"/>
  <c r="F226"/>
  <c r="N225"/>
  <c r="F225"/>
  <c r="N224"/>
  <c r="F224"/>
  <c r="N223"/>
  <c r="F223"/>
  <c r="N222"/>
  <c r="F222"/>
  <c r="N221"/>
  <c r="F221"/>
  <c r="N220"/>
  <c r="F220"/>
  <c r="N219"/>
  <c r="F219"/>
  <c r="N218"/>
  <c r="F218"/>
  <c r="N217"/>
  <c r="F217"/>
  <c r="N216"/>
  <c r="F216"/>
  <c r="N215"/>
  <c r="F215"/>
  <c r="N214"/>
  <c r="F214"/>
  <c r="N213"/>
  <c r="F213"/>
  <c r="N212"/>
  <c r="F212"/>
  <c r="N211"/>
  <c r="F211"/>
  <c r="N210"/>
  <c r="F210"/>
  <c r="N209"/>
  <c r="F209"/>
  <c r="N208"/>
  <c r="F208"/>
  <c r="N207"/>
  <c r="F207"/>
  <c r="N206"/>
  <c r="F206"/>
  <c r="N205"/>
  <c r="F205"/>
  <c r="N204"/>
  <c r="F204"/>
  <c r="N203"/>
  <c r="F203"/>
  <c r="N202"/>
  <c r="F202"/>
  <c r="N201"/>
  <c r="F201"/>
  <c r="N200"/>
  <c r="F200"/>
  <c r="N199"/>
  <c r="F199"/>
  <c r="N198"/>
  <c r="F198"/>
  <c r="N197"/>
  <c r="N188"/>
  <c r="F188"/>
  <c r="N187"/>
  <c r="F187"/>
  <c r="N186"/>
  <c r="F186"/>
  <c r="N184"/>
  <c r="F182"/>
  <c r="N181"/>
  <c r="F181"/>
  <c r="N180"/>
  <c r="F180"/>
  <c r="N179"/>
  <c r="F179"/>
  <c r="N178"/>
  <c r="F178"/>
  <c r="N177"/>
  <c r="F177"/>
  <c r="N176"/>
  <c r="F176"/>
  <c r="N175"/>
  <c r="F175"/>
  <c r="N174"/>
  <c r="F174"/>
  <c r="N173"/>
  <c r="F173"/>
  <c r="N172"/>
  <c r="F172"/>
  <c r="N171"/>
  <c r="F171"/>
  <c r="N170"/>
  <c r="S169"/>
  <c r="N169"/>
  <c r="N167"/>
  <c r="F167"/>
  <c r="N166"/>
  <c r="F166"/>
  <c r="N165"/>
  <c r="N164" s="1"/>
  <c r="N161"/>
  <c r="N160" s="1"/>
  <c r="N158"/>
  <c r="N157" s="1"/>
  <c r="N156" s="1"/>
  <c r="N151"/>
  <c r="N150"/>
  <c r="N149"/>
  <c r="N148"/>
  <c r="N144"/>
  <c r="N143"/>
  <c r="N142"/>
  <c r="N141"/>
  <c r="N140"/>
  <c r="N139" s="1"/>
  <c r="N137"/>
  <c r="N136"/>
  <c r="N134"/>
  <c r="N119"/>
  <c r="N118"/>
  <c r="N117"/>
  <c r="N116"/>
  <c r="N112"/>
  <c r="N111"/>
  <c r="N109"/>
  <c r="N108" s="1"/>
  <c r="N107" s="1"/>
  <c r="N105"/>
  <c r="N104"/>
  <c r="N103"/>
  <c r="N102"/>
  <c r="N101" s="1"/>
  <c r="N100" s="1"/>
  <c r="N97"/>
  <c r="N96" s="1"/>
  <c r="N95" s="1"/>
  <c r="N93"/>
  <c r="F93"/>
  <c r="N92"/>
  <c r="N90"/>
  <c r="F90"/>
  <c r="N89"/>
  <c r="N88"/>
  <c r="F88"/>
  <c r="F87"/>
  <c r="N83"/>
  <c r="N82"/>
  <c r="N79"/>
  <c r="N78"/>
  <c r="N76"/>
  <c r="N75" s="1"/>
  <c r="N72"/>
  <c r="N71"/>
  <c r="N70"/>
  <c r="N69"/>
  <c r="N68" s="1"/>
  <c r="N67" s="1"/>
  <c r="N58"/>
  <c r="N57" s="1"/>
  <c r="N56"/>
  <c r="N55"/>
  <c r="N54"/>
  <c r="F54"/>
  <c r="N53"/>
  <c r="N52"/>
  <c r="N51"/>
  <c r="N50"/>
  <c r="N49"/>
  <c r="N48" s="1"/>
  <c r="N46"/>
  <c r="N45"/>
  <c r="N44"/>
  <c r="N43" s="1"/>
  <c r="S54" s="1"/>
  <c r="S33"/>
  <c r="N33"/>
  <c r="S31"/>
  <c r="N29"/>
  <c r="T30" s="1"/>
  <c r="S28"/>
  <c r="N24"/>
  <c r="N22" s="1"/>
  <c r="N14"/>
  <c r="N13" s="1"/>
  <c r="N12" s="1"/>
  <c r="T76" i="16"/>
  <c r="T80"/>
  <c r="T79"/>
  <c r="T78"/>
  <c r="T77"/>
  <c r="Q16" i="60"/>
  <c r="T50" i="16"/>
  <c r="T60"/>
  <c r="T63"/>
  <c r="T83"/>
  <c r="T48"/>
  <c r="T20" i="5"/>
  <c r="Q15" i="60"/>
  <c r="Q17"/>
  <c r="T27" i="5"/>
  <c r="T31"/>
  <c r="T30"/>
  <c r="T29"/>
  <c r="T16" i="16"/>
  <c r="T30"/>
  <c r="T34"/>
  <c r="T38"/>
  <c r="U29" i="68"/>
  <c r="O16" i="60"/>
  <c r="R469" i="70"/>
  <c r="Q26" i="71"/>
  <c r="O83" i="16"/>
  <c r="O84"/>
  <c r="R88"/>
  <c r="R87" s="1"/>
  <c r="N60" i="70" s="1"/>
  <c r="N59" s="1"/>
  <c r="O80" i="16"/>
  <c r="R80" s="1"/>
  <c r="S46" i="71"/>
  <c r="Q31" i="62"/>
  <c r="Q33"/>
  <c r="N410" i="70"/>
  <c r="S136" i="58" l="1"/>
  <c r="S141"/>
  <c r="S170"/>
  <c r="R97"/>
  <c r="R96" s="1"/>
  <c r="R10"/>
  <c r="R9" s="1"/>
  <c r="Q155"/>
  <c r="S155" s="1"/>
  <c r="S161"/>
  <c r="Q169"/>
  <c r="S169" s="1"/>
  <c r="Q174"/>
  <c r="S10"/>
  <c r="Q106"/>
  <c r="Q97" s="1"/>
  <c r="Q96" s="1"/>
  <c r="S109"/>
  <c r="Q149"/>
  <c r="S149" s="1"/>
  <c r="S145"/>
  <c r="Q144"/>
  <c r="S144" s="1"/>
  <c r="S106"/>
  <c r="R95"/>
  <c r="R15" s="1"/>
  <c r="R192" s="1"/>
  <c r="Q173"/>
  <c r="S173" s="1"/>
  <c r="S9"/>
  <c r="S127"/>
  <c r="Q126"/>
  <c r="S128"/>
  <c r="S146"/>
  <c r="S174"/>
  <c r="S179"/>
  <c r="N86" i="92"/>
  <c r="N85" s="1"/>
  <c r="N414"/>
  <c r="N413" s="1"/>
  <c r="N81"/>
  <c r="N80" s="1"/>
  <c r="S94"/>
  <c r="N147"/>
  <c r="N146" s="1"/>
  <c r="N269"/>
  <c r="S162" s="1"/>
  <c r="N401"/>
  <c r="N409"/>
  <c r="N407" s="1"/>
  <c r="N406" s="1"/>
  <c r="N241"/>
  <c r="N240" s="1"/>
  <c r="N262"/>
  <c r="N115"/>
  <c r="N114" s="1"/>
  <c r="N133"/>
  <c r="N132" s="1"/>
  <c r="N183"/>
  <c r="N314"/>
  <c r="S316" s="1"/>
  <c r="N398"/>
  <c r="N47"/>
  <c r="S167"/>
  <c r="S330"/>
  <c r="N313"/>
  <c r="N312" s="1"/>
  <c r="S474"/>
  <c r="S461"/>
  <c r="N37"/>
  <c r="T12"/>
  <c r="S12"/>
  <c r="N155"/>
  <c r="S166"/>
  <c r="N163"/>
  <c r="N427"/>
  <c r="N42"/>
  <c r="S16"/>
  <c r="T75" i="16"/>
  <c r="T90" s="1"/>
  <c r="Q23" i="25"/>
  <c r="H24" i="37"/>
  <c r="N413" i="70"/>
  <c r="N412"/>
  <c r="Q15" i="25"/>
  <c r="Q19"/>
  <c r="Q21"/>
  <c r="Q20"/>
  <c r="N21"/>
  <c r="N20"/>
  <c r="S47" i="92" l="1"/>
  <c r="S49" s="1"/>
  <c r="S126" i="58"/>
  <c r="Q95"/>
  <c r="S161" i="92"/>
  <c r="S160" s="1"/>
  <c r="N392"/>
  <c r="N40"/>
  <c r="S55"/>
  <c r="S163"/>
  <c r="N153"/>
  <c r="N464" s="1"/>
  <c r="N465" s="1"/>
  <c r="S40"/>
  <c r="N411" i="70"/>
  <c r="Q41" i="71"/>
  <c r="Q40" s="1"/>
  <c r="N253" i="70" s="1"/>
  <c r="W56" i="43"/>
  <c r="F183" i="70"/>
  <c r="S36" i="81"/>
  <c r="N183" i="70" s="1"/>
  <c r="F240"/>
  <c r="S64" i="79"/>
  <c r="N240" i="70" s="1"/>
  <c r="F377"/>
  <c r="S82" i="77"/>
  <c r="N377" i="70" s="1"/>
  <c r="C15" i="37"/>
  <c r="F312" i="70"/>
  <c r="F311"/>
  <c r="S64" i="43"/>
  <c r="N312" i="70" s="1"/>
  <c r="S63" i="91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3"/>
  <c r="S32"/>
  <c r="S31"/>
  <c r="S30"/>
  <c r="S29"/>
  <c r="U28"/>
  <c r="S28"/>
  <c r="S27"/>
  <c r="S26"/>
  <c r="S25"/>
  <c r="S24"/>
  <c r="S23"/>
  <c r="S21"/>
  <c r="S20"/>
  <c r="S19"/>
  <c r="S18"/>
  <c r="S64" s="1"/>
  <c r="G464" i="70"/>
  <c r="G463"/>
  <c r="G462"/>
  <c r="G461"/>
  <c r="G460"/>
  <c r="G447"/>
  <c r="G446"/>
  <c r="G445"/>
  <c r="F182"/>
  <c r="F181"/>
  <c r="F180"/>
  <c r="F179"/>
  <c r="F178"/>
  <c r="F169"/>
  <c r="F168"/>
  <c r="C30" i="37"/>
  <c r="Q16" i="90"/>
  <c r="Q36"/>
  <c r="Q33"/>
  <c r="Q32"/>
  <c r="Q31" s="1"/>
  <c r="T30"/>
  <c r="Q29"/>
  <c r="Q28"/>
  <c r="Q27"/>
  <c r="Q26" s="1"/>
  <c r="N23"/>
  <c r="Q23" s="1"/>
  <c r="N22"/>
  <c r="Q22" s="1"/>
  <c r="Q21" s="1"/>
  <c r="Q20" s="1"/>
  <c r="Q18"/>
  <c r="Q17"/>
  <c r="S95" i="58" l="1"/>
  <c r="Q15"/>
  <c r="Q192" s="1"/>
  <c r="S192" s="1"/>
  <c r="T465" i="92"/>
  <c r="S473"/>
  <c r="N252" i="70"/>
  <c r="S17" i="91"/>
  <c r="Q35" i="90"/>
  <c r="N469" i="70"/>
  <c r="Q46" i="89"/>
  <c r="N460" i="70" s="1"/>
  <c r="Q20" i="89"/>
  <c r="N440" i="70" s="1"/>
  <c r="Q19" i="89"/>
  <c r="N439" i="70" s="1"/>
  <c r="Q50" i="89"/>
  <c r="N464" i="70" s="1"/>
  <c r="Q49" i="89"/>
  <c r="N463" i="70" s="1"/>
  <c r="Q48" i="89"/>
  <c r="Q47"/>
  <c r="N461" i="70" s="1"/>
  <c r="Q43" i="89"/>
  <c r="N447" i="70" s="1"/>
  <c r="Q41" i="89"/>
  <c r="N445" i="70" s="1"/>
  <c r="N42" i="89"/>
  <c r="Q42" s="1"/>
  <c r="N446" i="70" s="1"/>
  <c r="Q38" i="89"/>
  <c r="Q37"/>
  <c r="Q34"/>
  <c r="Q33"/>
  <c r="Q32" s="1"/>
  <c r="N442" i="70" s="1"/>
  <c r="Q30" i="89"/>
  <c r="Q29"/>
  <c r="Q28"/>
  <c r="Q27"/>
  <c r="Q26"/>
  <c r="Q25"/>
  <c r="Q24"/>
  <c r="Q23"/>
  <c r="Q22" s="1"/>
  <c r="N444" i="70" l="1"/>
  <c r="Q36" i="89"/>
  <c r="N443" i="70" s="1"/>
  <c r="N441"/>
  <c r="Q45" i="89"/>
  <c r="N462" i="70"/>
  <c r="N459" s="1"/>
  <c r="Q40" i="89"/>
  <c r="Q38" i="90"/>
  <c r="S27" i="81"/>
  <c r="S50" i="88"/>
  <c r="S49"/>
  <c r="S48"/>
  <c r="S47"/>
  <c r="S46"/>
  <c r="S45"/>
  <c r="S44"/>
  <c r="S43"/>
  <c r="S42"/>
  <c r="S41"/>
  <c r="S40"/>
  <c r="S38"/>
  <c r="S37"/>
  <c r="S36"/>
  <c r="S35"/>
  <c r="S34"/>
  <c r="S33"/>
  <c r="S32"/>
  <c r="S31"/>
  <c r="S30"/>
  <c r="S29"/>
  <c r="S28" s="1"/>
  <c r="S27" s="1"/>
  <c r="S25"/>
  <c r="S24"/>
  <c r="S23" s="1"/>
  <c r="S18" s="1"/>
  <c r="S51" s="1"/>
  <c r="S21"/>
  <c r="S20"/>
  <c r="S19"/>
  <c r="N174" i="70"/>
  <c r="F177"/>
  <c r="F176"/>
  <c r="F175"/>
  <c r="F174"/>
  <c r="F173"/>
  <c r="F184"/>
  <c r="Q38" i="71"/>
  <c r="Q18"/>
  <c r="Q17" s="1"/>
  <c r="N245" i="70" s="1"/>
  <c r="N244" s="1"/>
  <c r="C29" i="37" l="1"/>
  <c r="C10"/>
  <c r="T26" i="61"/>
  <c r="Q29"/>
  <c r="Q19"/>
  <c r="C12" i="37"/>
  <c r="Q29" i="85"/>
  <c r="Q28"/>
  <c r="D29" i="37" l="1"/>
  <c r="Q27" i="85"/>
  <c r="N139" i="70" s="1"/>
  <c r="Q24" i="85"/>
  <c r="Q25" l="1"/>
  <c r="Q23"/>
  <c r="Q22" s="1"/>
  <c r="N20"/>
  <c r="Q20" s="1"/>
  <c r="N19"/>
  <c r="Q19" s="1"/>
  <c r="N18"/>
  <c r="Q18" s="1"/>
  <c r="N138" i="70" l="1"/>
  <c r="Q17" i="85"/>
  <c r="N136" i="70" s="1"/>
  <c r="D32" i="37"/>
  <c r="C13"/>
  <c r="Q32" i="84"/>
  <c r="Q31"/>
  <c r="Q28"/>
  <c r="Q27"/>
  <c r="Q26" s="1"/>
  <c r="N145" i="70" s="1"/>
  <c r="N24" i="84"/>
  <c r="Q24" s="1"/>
  <c r="N23"/>
  <c r="Q23" s="1"/>
  <c r="N20"/>
  <c r="Q20" s="1"/>
  <c r="N19"/>
  <c r="Q19" s="1"/>
  <c r="N18"/>
  <c r="Q18" s="1"/>
  <c r="E31" i="37"/>
  <c r="F31"/>
  <c r="C28"/>
  <c r="E28" s="1"/>
  <c r="C27"/>
  <c r="C26"/>
  <c r="E26" s="1"/>
  <c r="C25"/>
  <c r="E25" s="1"/>
  <c r="C24"/>
  <c r="E24" s="1"/>
  <c r="C23"/>
  <c r="E23" s="1"/>
  <c r="C22"/>
  <c r="C21"/>
  <c r="E21" s="1"/>
  <c r="C20"/>
  <c r="E20" s="1"/>
  <c r="C19"/>
  <c r="E19" s="1"/>
  <c r="C18"/>
  <c r="E18" s="1"/>
  <c r="C17"/>
  <c r="E17" s="1"/>
  <c r="C16"/>
  <c r="E16" s="1"/>
  <c r="C14"/>
  <c r="C11"/>
  <c r="C9"/>
  <c r="C8"/>
  <c r="C7"/>
  <c r="C6"/>
  <c r="C5"/>
  <c r="C4"/>
  <c r="C3"/>
  <c r="C2"/>
  <c r="Q32" i="23"/>
  <c r="Q31" s="1"/>
  <c r="N406" i="70" s="1"/>
  <c r="N29" i="23"/>
  <c r="Q29" s="1"/>
  <c r="N28"/>
  <c r="Q28" s="1"/>
  <c r="N19" i="62"/>
  <c r="Q19" s="1"/>
  <c r="Q19" i="24"/>
  <c r="N19"/>
  <c r="U19" i="68"/>
  <c r="P17" i="59"/>
  <c r="P16" s="1"/>
  <c r="O33" i="17"/>
  <c r="O35"/>
  <c r="O27"/>
  <c r="O40" i="16"/>
  <c r="O39"/>
  <c r="Q27" i="23" l="1"/>
  <c r="N405" i="70" s="1"/>
  <c r="N135"/>
  <c r="N134" s="1"/>
  <c r="Q16" i="85"/>
  <c r="Q31"/>
  <c r="F12" i="37" s="1"/>
  <c r="J12" s="1"/>
  <c r="Q30" i="84"/>
  <c r="N146" i="70" s="1"/>
  <c r="S30" i="85"/>
  <c r="Q17" i="84"/>
  <c r="N143" i="70" s="1"/>
  <c r="Q22" i="84"/>
  <c r="N144" i="70" s="1"/>
  <c r="F28" i="37"/>
  <c r="F25"/>
  <c r="F23"/>
  <c r="F21"/>
  <c r="F19"/>
  <c r="F17"/>
  <c r="E27"/>
  <c r="F27" s="1"/>
  <c r="F24"/>
  <c r="F20"/>
  <c r="F18"/>
  <c r="F16"/>
  <c r="I34" s="1"/>
  <c r="O49" i="16"/>
  <c r="R49" s="1"/>
  <c r="O50"/>
  <c r="R50" s="1"/>
  <c r="O46"/>
  <c r="R46" s="1"/>
  <c r="O45"/>
  <c r="R45" s="1"/>
  <c r="R26"/>
  <c r="R25"/>
  <c r="R18"/>
  <c r="N24" i="23"/>
  <c r="Q20"/>
  <c r="P19" i="83"/>
  <c r="S18"/>
  <c r="P17"/>
  <c r="P16" s="1"/>
  <c r="N99" i="70" s="1"/>
  <c r="N98" s="1"/>
  <c r="N97" s="1"/>
  <c r="N142" l="1"/>
  <c r="N141" s="1"/>
  <c r="R44" i="16"/>
  <c r="Q34" i="84"/>
  <c r="Q16"/>
  <c r="R48" i="16"/>
  <c r="P21" i="83"/>
  <c r="H7" i="37" s="1"/>
  <c r="S33" i="84" l="1"/>
  <c r="E13" i="37"/>
  <c r="N16" i="70"/>
  <c r="T35" i="71"/>
  <c r="Q34"/>
  <c r="Q33"/>
  <c r="Q32"/>
  <c r="N26" i="70"/>
  <c r="F56"/>
  <c r="Q17" i="82"/>
  <c r="N433" i="70" s="1"/>
  <c r="N432" s="1"/>
  <c r="N431" s="1"/>
  <c r="Q16" i="82" l="1"/>
  <c r="Q21" s="1"/>
  <c r="I28" i="37" s="1"/>
  <c r="N15" i="70"/>
  <c r="J9" i="37"/>
  <c r="Q31" i="71"/>
  <c r="N250" i="70" s="1"/>
  <c r="B2" i="37" l="1"/>
  <c r="D33" s="1"/>
  <c r="Q18" i="70"/>
  <c r="A1" i="37"/>
  <c r="B8"/>
  <c r="A8"/>
  <c r="B7"/>
  <c r="B6"/>
  <c r="B5"/>
  <c r="B3"/>
  <c r="B36" l="1"/>
  <c r="B4"/>
  <c r="B1" s="1"/>
  <c r="B13" l="1"/>
  <c r="B11" s="1"/>
  <c r="F90" i="70"/>
  <c r="S19" i="68"/>
  <c r="N90" i="70" s="1"/>
  <c r="F95"/>
  <c r="S29" i="68"/>
  <c r="N95" i="70" s="1"/>
  <c r="N94" s="1"/>
  <c r="Q96" s="1"/>
  <c r="F92"/>
  <c r="F89"/>
  <c r="S26" i="68"/>
  <c r="S25" s="1"/>
  <c r="N92" i="70" s="1"/>
  <c r="S23" i="68"/>
  <c r="S22"/>
  <c r="S21" s="1"/>
  <c r="N91" i="70" s="1"/>
  <c r="U22" i="68"/>
  <c r="S28" l="1"/>
  <c r="B9" i="37"/>
  <c r="F385" i="70"/>
  <c r="F384"/>
  <c r="S90" i="77"/>
  <c r="N385" i="70" s="1"/>
  <c r="F387"/>
  <c r="F386"/>
  <c r="F383"/>
  <c r="F382"/>
  <c r="F381"/>
  <c r="F380"/>
  <c r="F379"/>
  <c r="F334"/>
  <c r="F332"/>
  <c r="F331"/>
  <c r="F329"/>
  <c r="F316"/>
  <c r="F330"/>
  <c r="S92" i="77"/>
  <c r="N387" i="70" s="1"/>
  <c r="S91" i="77"/>
  <c r="N386" i="70" s="1"/>
  <c r="S89" i="77"/>
  <c r="N384" i="70" s="1"/>
  <c r="S88" i="77"/>
  <c r="N383" i="70" s="1"/>
  <c r="S87" i="77"/>
  <c r="N382" i="70" s="1"/>
  <c r="S86" i="77"/>
  <c r="N381" i="70" s="1"/>
  <c r="S85" i="77"/>
  <c r="S84" s="1"/>
  <c r="U26"/>
  <c r="S27"/>
  <c r="N332" i="70" s="1"/>
  <c r="S26" i="77"/>
  <c r="N331" i="70" s="1"/>
  <c r="S25" i="77"/>
  <c r="N330" i="70" l="1"/>
  <c r="S24" i="77"/>
  <c r="N329" i="70"/>
  <c r="N380"/>
  <c r="N379" s="1"/>
  <c r="V84" i="77"/>
  <c r="Q319" i="70" l="1"/>
  <c r="Q473"/>
  <c r="S35" i="81"/>
  <c r="N182" i="70" s="1"/>
  <c r="S34" i="81"/>
  <c r="N181" i="70" s="1"/>
  <c r="S33" i="81"/>
  <c r="N180" i="70" s="1"/>
  <c r="S32" i="81"/>
  <c r="N179" i="70" s="1"/>
  <c r="S31" i="81"/>
  <c r="N178" i="70" s="1"/>
  <c r="S30" i="81"/>
  <c r="N177" i="70" s="1"/>
  <c r="S29" i="81"/>
  <c r="N176" i="70" s="1"/>
  <c r="S28" i="81"/>
  <c r="N175" i="70" s="1"/>
  <c r="S26" i="81"/>
  <c r="S21"/>
  <c r="N169" i="70" s="1"/>
  <c r="S20" i="81"/>
  <c r="N168" i="70" s="1"/>
  <c r="P19" i="80"/>
  <c r="U20"/>
  <c r="U28"/>
  <c r="S28"/>
  <c r="S27"/>
  <c r="S26"/>
  <c r="S25"/>
  <c r="S24"/>
  <c r="S21"/>
  <c r="S20"/>
  <c r="S18"/>
  <c r="S17" s="1"/>
  <c r="S25" i="81" l="1"/>
  <c r="S24" s="1"/>
  <c r="N173" i="70"/>
  <c r="N167"/>
  <c r="N166" s="1"/>
  <c r="S19" i="81"/>
  <c r="S23" i="80"/>
  <c r="S30"/>
  <c r="N172" i="70" l="1"/>
  <c r="N171" s="1"/>
  <c r="N165" s="1"/>
  <c r="S18" i="81"/>
  <c r="S38" s="1"/>
  <c r="I16" i="37" s="1"/>
  <c r="R61" i="16"/>
  <c r="R60" s="1"/>
  <c r="N56" i="70" s="1"/>
  <c r="O23" i="5" l="1"/>
  <c r="F319" i="70"/>
  <c r="F318"/>
  <c r="F317"/>
  <c r="F299"/>
  <c r="F308"/>
  <c r="F310"/>
  <c r="F309"/>
  <c r="F307"/>
  <c r="F306"/>
  <c r="F305"/>
  <c r="F304"/>
  <c r="F303"/>
  <c r="F302"/>
  <c r="F301"/>
  <c r="F300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69"/>
  <c r="F268"/>
  <c r="F267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0"/>
  <c r="F189"/>
  <c r="F188"/>
  <c r="S81" i="77"/>
  <c r="N376" i="70" s="1"/>
  <c r="S80" i="77"/>
  <c r="S79"/>
  <c r="N374" i="70" s="1"/>
  <c r="S68" i="77"/>
  <c r="N373" i="70" s="1"/>
  <c r="S67" i="77"/>
  <c r="N372" i="70" s="1"/>
  <c r="S66" i="77"/>
  <c r="N371" i="70" s="1"/>
  <c r="S65" i="77"/>
  <c r="N370" i="70" s="1"/>
  <c r="S64" i="77"/>
  <c r="N369" i="70" s="1"/>
  <c r="S63" i="77"/>
  <c r="N368" i="70" s="1"/>
  <c r="S62" i="77"/>
  <c r="N367" i="70" s="1"/>
  <c r="S61" i="77"/>
  <c r="N366" i="70" s="1"/>
  <c r="S60" i="77"/>
  <c r="N365" i="70" s="1"/>
  <c r="S59" i="77"/>
  <c r="N364" i="70" s="1"/>
  <c r="S58" i="77"/>
  <c r="N363" i="70" s="1"/>
  <c r="S57" i="77"/>
  <c r="N362" i="70" s="1"/>
  <c r="S56" i="77"/>
  <c r="N361" i="70" s="1"/>
  <c r="S55" i="77"/>
  <c r="N360" i="70" s="1"/>
  <c r="S54" i="77"/>
  <c r="N359" i="70" s="1"/>
  <c r="S53" i="77"/>
  <c r="N358" i="70" s="1"/>
  <c r="S52" i="77"/>
  <c r="N357" i="70" s="1"/>
  <c r="S51" i="77"/>
  <c r="N356" i="70" s="1"/>
  <c r="S50" i="77"/>
  <c r="N355" i="70" s="1"/>
  <c r="S49" i="77"/>
  <c r="N354" i="70" s="1"/>
  <c r="S48" i="77"/>
  <c r="N353" i="70" s="1"/>
  <c r="S47" i="77"/>
  <c r="N352" i="70" s="1"/>
  <c r="S46" i="77"/>
  <c r="N351" i="70" s="1"/>
  <c r="S45" i="77"/>
  <c r="N350" i="70" s="1"/>
  <c r="S44" i="77"/>
  <c r="N349" i="70" s="1"/>
  <c r="S43" i="77"/>
  <c r="N348" i="70" s="1"/>
  <c r="S42" i="77"/>
  <c r="N347" i="70" s="1"/>
  <c r="S41" i="77"/>
  <c r="N346" i="70" s="1"/>
  <c r="S40" i="77"/>
  <c r="N345" i="70" s="1"/>
  <c r="S39" i="77"/>
  <c r="N344" i="70" s="1"/>
  <c r="S38" i="77"/>
  <c r="N343" i="70" s="1"/>
  <c r="S37" i="77"/>
  <c r="N342" i="70" s="1"/>
  <c r="S36" i="77"/>
  <c r="N341" i="70" s="1"/>
  <c r="S35" i="77"/>
  <c r="N340" i="70" s="1"/>
  <c r="S34" i="77"/>
  <c r="N339" i="70" s="1"/>
  <c r="S33" i="77"/>
  <c r="N338" i="70" s="1"/>
  <c r="S32" i="77"/>
  <c r="N337" i="70" s="1"/>
  <c r="S31" i="77"/>
  <c r="N336" i="70" s="1"/>
  <c r="S30" i="77"/>
  <c r="S32" i="79"/>
  <c r="N208" i="70" s="1"/>
  <c r="S33" i="79"/>
  <c r="N209" i="70" s="1"/>
  <c r="S34" i="79"/>
  <c r="N210" i="70" s="1"/>
  <c r="S63" i="79"/>
  <c r="S62"/>
  <c r="N238" i="70" s="1"/>
  <c r="S61" i="79"/>
  <c r="N237" i="70" s="1"/>
  <c r="S60" i="79"/>
  <c r="N236" i="70" s="1"/>
  <c r="S59" i="79"/>
  <c r="N235" i="70" s="1"/>
  <c r="S58" i="79"/>
  <c r="N234" i="70" s="1"/>
  <c r="S57" i="79"/>
  <c r="N233" i="70" s="1"/>
  <c r="S56" i="79"/>
  <c r="N232" i="70" s="1"/>
  <c r="S55" i="79"/>
  <c r="N231" i="70" s="1"/>
  <c r="S54" i="79"/>
  <c r="N230" i="70" s="1"/>
  <c r="S53" i="79"/>
  <c r="N229" i="70" s="1"/>
  <c r="S52" i="79"/>
  <c r="N228" i="70" s="1"/>
  <c r="S51" i="79"/>
  <c r="N227" i="70" s="1"/>
  <c r="S50" i="79"/>
  <c r="N226" i="70" s="1"/>
  <c r="S49" i="79"/>
  <c r="N225" i="70" s="1"/>
  <c r="S48" i="79"/>
  <c r="N224" i="70" s="1"/>
  <c r="S47" i="79"/>
  <c r="N223" i="70" s="1"/>
  <c r="S46" i="79"/>
  <c r="N222" i="70" s="1"/>
  <c r="S45" i="79"/>
  <c r="N221" i="70" s="1"/>
  <c r="S44" i="79"/>
  <c r="N220" i="70" s="1"/>
  <c r="S43" i="79"/>
  <c r="N219" i="70" s="1"/>
  <c r="S42" i="79"/>
  <c r="N218" i="70" s="1"/>
  <c r="S41" i="79"/>
  <c r="N217" i="70" s="1"/>
  <c r="S40" i="79"/>
  <c r="N216" i="70" s="1"/>
  <c r="S39" i="79"/>
  <c r="N215" i="70" s="1"/>
  <c r="S38" i="79"/>
  <c r="N214" i="70" s="1"/>
  <c r="S37" i="79"/>
  <c r="N213" i="70" s="1"/>
  <c r="S36" i="79"/>
  <c r="N212" i="70" s="1"/>
  <c r="S35" i="79"/>
  <c r="N211" i="70" s="1"/>
  <c r="S31" i="79"/>
  <c r="N207" i="70" s="1"/>
  <c r="S30" i="79"/>
  <c r="N206" i="70" s="1"/>
  <c r="S29" i="79"/>
  <c r="N205" i="70" s="1"/>
  <c r="U28" i="79"/>
  <c r="S28"/>
  <c r="N204" i="70" s="1"/>
  <c r="S27" i="79"/>
  <c r="N203" i="70" s="1"/>
  <c r="S26" i="79"/>
  <c r="N202" i="70" s="1"/>
  <c r="S25" i="79"/>
  <c r="N201" i="70" s="1"/>
  <c r="S24" i="79"/>
  <c r="S21"/>
  <c r="N190" i="70" s="1"/>
  <c r="S20" i="79"/>
  <c r="N189" i="70" s="1"/>
  <c r="S19" i="79"/>
  <c r="S25" i="44"/>
  <c r="S24"/>
  <c r="S23"/>
  <c r="N163" i="70" s="1"/>
  <c r="N162" s="1"/>
  <c r="S45" i="43"/>
  <c r="N293" i="70" s="1"/>
  <c r="S32" i="43"/>
  <c r="N280" i="70" s="1"/>
  <c r="U28" i="43"/>
  <c r="S62"/>
  <c r="N310" i="70" s="1"/>
  <c r="S61" i="43"/>
  <c r="N309" i="70" s="1"/>
  <c r="S60" i="43"/>
  <c r="N308" i="70" s="1"/>
  <c r="S59" i="43"/>
  <c r="N307" i="70" s="1"/>
  <c r="S58" i="43"/>
  <c r="N306" i="70" s="1"/>
  <c r="S57" i="43"/>
  <c r="N305" i="70" s="1"/>
  <c r="S56" i="43"/>
  <c r="N304" i="70" s="1"/>
  <c r="S55" i="43"/>
  <c r="N303" i="70" s="1"/>
  <c r="S54" i="43"/>
  <c r="N302" i="70" s="1"/>
  <c r="S53" i="43"/>
  <c r="N301" i="70" s="1"/>
  <c r="S52" i="43"/>
  <c r="N300" i="70" s="1"/>
  <c r="S51" i="43"/>
  <c r="S50"/>
  <c r="N298" i="70" s="1"/>
  <c r="S49" i="43"/>
  <c r="N297" i="70" s="1"/>
  <c r="S48" i="43"/>
  <c r="N296" i="70" s="1"/>
  <c r="S47" i="43"/>
  <c r="N295" i="70" s="1"/>
  <c r="S46" i="43"/>
  <c r="N294" i="70" s="1"/>
  <c r="S44" i="43"/>
  <c r="N292" i="70" s="1"/>
  <c r="S43" i="43"/>
  <c r="N291" i="70" s="1"/>
  <c r="S42" i="43"/>
  <c r="N290" i="70" s="1"/>
  <c r="S41" i="43"/>
  <c r="N289" i="70" s="1"/>
  <c r="S40" i="43"/>
  <c r="N288" i="70" s="1"/>
  <c r="S39" i="43"/>
  <c r="N287" i="70" s="1"/>
  <c r="S38" i="43"/>
  <c r="N286" i="70" s="1"/>
  <c r="S37" i="43"/>
  <c r="N285" i="70" s="1"/>
  <c r="S36" i="43"/>
  <c r="N284" i="70" s="1"/>
  <c r="S35" i="43"/>
  <c r="N283" i="70" s="1"/>
  <c r="S33" i="43"/>
  <c r="N281" i="70" s="1"/>
  <c r="S31" i="43"/>
  <c r="N279" i="70" s="1"/>
  <c r="S30" i="43"/>
  <c r="N278" i="70" s="1"/>
  <c r="S29" i="43"/>
  <c r="N277" i="70" s="1"/>
  <c r="S22" i="77"/>
  <c r="N319" i="70" s="1"/>
  <c r="S21" i="77"/>
  <c r="N318" i="70" s="1"/>
  <c r="S20" i="77"/>
  <c r="N21" i="76"/>
  <c r="Q21" s="1"/>
  <c r="N20"/>
  <c r="Q20" s="1"/>
  <c r="N19"/>
  <c r="Q19" s="1"/>
  <c r="N18"/>
  <c r="Q18" s="1"/>
  <c r="F419" i="70"/>
  <c r="L31" i="17"/>
  <c r="L30"/>
  <c r="Q34" i="74"/>
  <c r="N20"/>
  <c r="Q20" s="1"/>
  <c r="N19"/>
  <c r="Q19" s="1"/>
  <c r="Q33"/>
  <c r="Q30"/>
  <c r="Q29"/>
  <c r="Q28"/>
  <c r="N25"/>
  <c r="Q25" s="1"/>
  <c r="N24"/>
  <c r="Q24" s="1"/>
  <c r="N21"/>
  <c r="Q21" s="1"/>
  <c r="N18"/>
  <c r="Q18" s="1"/>
  <c r="R23" i="16"/>
  <c r="N31" i="70"/>
  <c r="N24" s="1"/>
  <c r="N14" s="1"/>
  <c r="Q35"/>
  <c r="Q33"/>
  <c r="N317" l="1"/>
  <c r="N316" s="1"/>
  <c r="S19" i="77"/>
  <c r="S18" s="1"/>
  <c r="N200" i="70"/>
  <c r="S23" i="79"/>
  <c r="N375" i="70"/>
  <c r="S29" i="77"/>
  <c r="S28" s="1"/>
  <c r="S94" s="1"/>
  <c r="N239" i="70"/>
  <c r="N299"/>
  <c r="S22" i="44"/>
  <c r="Q32" i="74"/>
  <c r="N153" i="70" s="1"/>
  <c r="Q27" i="74"/>
  <c r="N152" i="70" s="1"/>
  <c r="N335"/>
  <c r="R32"/>
  <c r="Q17" i="74"/>
  <c r="N150" i="70"/>
  <c r="S18" i="79"/>
  <c r="S17" s="1"/>
  <c r="N188" i="70"/>
  <c r="N186" s="1"/>
  <c r="Q17" i="76"/>
  <c r="Q16"/>
  <c r="Q24" s="1"/>
  <c r="Q23" i="74"/>
  <c r="N23" i="71"/>
  <c r="Q23" s="1"/>
  <c r="Q37"/>
  <c r="Q36" s="1"/>
  <c r="N251" i="70" s="1"/>
  <c r="N29" i="71"/>
  <c r="Q29" s="1"/>
  <c r="N28"/>
  <c r="Q28" s="1"/>
  <c r="N24"/>
  <c r="Q24" s="1"/>
  <c r="N22"/>
  <c r="Q22" s="1"/>
  <c r="S20" i="44"/>
  <c r="N160" i="70" s="1"/>
  <c r="N159" s="1"/>
  <c r="N158" s="1"/>
  <c r="S21" i="43"/>
  <c r="N269" i="70" s="1"/>
  <c r="S20" i="43"/>
  <c r="N268" i="70" s="1"/>
  <c r="N21" i="67"/>
  <c r="Q21" s="1"/>
  <c r="Q20" s="1"/>
  <c r="Q19" i="11"/>
  <c r="N419" i="70" s="1"/>
  <c r="O25" i="5"/>
  <c r="R25" s="1"/>
  <c r="O24"/>
  <c r="R24" s="1"/>
  <c r="R23"/>
  <c r="N477" i="70"/>
  <c r="N474"/>
  <c r="N473"/>
  <c r="F417"/>
  <c r="N35"/>
  <c r="Q30"/>
  <c r="U56" i="16"/>
  <c r="U58" s="1"/>
  <c r="S18" i="68"/>
  <c r="N18" i="67"/>
  <c r="Q18" s="1"/>
  <c r="Q17" s="1"/>
  <c r="R40" i="16"/>
  <c r="R39"/>
  <c r="T96"/>
  <c r="T95"/>
  <c r="R21"/>
  <c r="Q32" i="62"/>
  <c r="Q29"/>
  <c r="Q28"/>
  <c r="Q27"/>
  <c r="N24"/>
  <c r="Q24" s="1"/>
  <c r="N23"/>
  <c r="Q23" s="1"/>
  <c r="N20"/>
  <c r="Q20" s="1"/>
  <c r="N18"/>
  <c r="Q18" s="1"/>
  <c r="Q28" i="61"/>
  <c r="Q25"/>
  <c r="Q24"/>
  <c r="Q23"/>
  <c r="N20"/>
  <c r="Q20" s="1"/>
  <c r="N18"/>
  <c r="Q18" s="1"/>
  <c r="O31" i="17"/>
  <c r="O30"/>
  <c r="L18" i="60"/>
  <c r="O18" s="1"/>
  <c r="L17"/>
  <c r="O17" s="1"/>
  <c r="N80" i="70" s="1"/>
  <c r="O85" i="16"/>
  <c r="R85" s="1"/>
  <c r="R84"/>
  <c r="R83"/>
  <c r="R74"/>
  <c r="O58"/>
  <c r="R58" s="1"/>
  <c r="O54"/>
  <c r="R54" s="1"/>
  <c r="N468" i="70" l="1"/>
  <c r="N199"/>
  <c r="N185" s="1"/>
  <c r="F26" i="37"/>
  <c r="J13" s="1"/>
  <c r="N423" i="70"/>
  <c r="N422" s="1"/>
  <c r="N421" s="1"/>
  <c r="N315"/>
  <c r="N157"/>
  <c r="N121"/>
  <c r="Q17" i="62"/>
  <c r="Q26"/>
  <c r="S65" i="79"/>
  <c r="I18" i="37" s="1"/>
  <c r="N334" i="70"/>
  <c r="N333" s="1"/>
  <c r="Q21" i="71"/>
  <c r="Q20" s="1"/>
  <c r="Q27"/>
  <c r="N249" i="70" s="1"/>
  <c r="N248" s="1"/>
  <c r="Q17" i="61"/>
  <c r="Q27"/>
  <c r="Q22"/>
  <c r="N89" i="70"/>
  <c r="N88" s="1"/>
  <c r="N87" s="1"/>
  <c r="S17" i="68"/>
  <c r="S16" s="1"/>
  <c r="S31" s="1"/>
  <c r="H6" i="37" s="1"/>
  <c r="J6" s="1"/>
  <c r="I21"/>
  <c r="Q16" i="74"/>
  <c r="N151" i="70"/>
  <c r="N149" s="1"/>
  <c r="N148" s="1"/>
  <c r="Q36" i="74"/>
  <c r="S19" i="44"/>
  <c r="N85" i="70"/>
  <c r="N84"/>
  <c r="N81"/>
  <c r="N78" s="1"/>
  <c r="O29" i="17"/>
  <c r="N74" i="70" s="1"/>
  <c r="R38" i="16"/>
  <c r="N53" i="70" s="1"/>
  <c r="Q16" i="67"/>
  <c r="Q25" s="1"/>
  <c r="T97" i="16"/>
  <c r="R22" i="5"/>
  <c r="Q22" i="62"/>
  <c r="N118" i="70"/>
  <c r="O15" i="60"/>
  <c r="O22" s="1"/>
  <c r="H5" i="37" s="1"/>
  <c r="J5" s="1"/>
  <c r="R82" i="16"/>
  <c r="Q463" i="70" l="1"/>
  <c r="T38" i="71" s="1"/>
  <c r="T45" s="1"/>
  <c r="Q476" i="70"/>
  <c r="N314"/>
  <c r="Q332"/>
  <c r="N247"/>
  <c r="N246" s="1"/>
  <c r="N243" s="1"/>
  <c r="N242" s="1"/>
  <c r="Q34" i="62"/>
  <c r="Q16"/>
  <c r="N120" i="70"/>
  <c r="N113"/>
  <c r="N111"/>
  <c r="Q16" i="61"/>
  <c r="N114" i="70"/>
  <c r="Q31" i="61"/>
  <c r="F10" i="37" s="1"/>
  <c r="F32" s="1"/>
  <c r="F33" s="1"/>
  <c r="Q16" i="71"/>
  <c r="Q43" s="1"/>
  <c r="H19" i="37" s="1"/>
  <c r="H14"/>
  <c r="S26" i="74"/>
  <c r="Q318" i="70"/>
  <c r="T31" i="61"/>
  <c r="N47" i="70"/>
  <c r="N83"/>
  <c r="N82" s="1"/>
  <c r="N77"/>
  <c r="E11" i="37"/>
  <c r="J8" s="1"/>
  <c r="N119" i="70"/>
  <c r="S18" i="44"/>
  <c r="N39" i="70"/>
  <c r="R14"/>
  <c r="Q14"/>
  <c r="P21" i="59"/>
  <c r="G2" i="37" s="1"/>
  <c r="N117" i="70" l="1"/>
  <c r="N116" s="1"/>
  <c r="N110"/>
  <c r="N109" s="1"/>
  <c r="J18" i="37"/>
  <c r="G32"/>
  <c r="G33" s="1"/>
  <c r="S18" i="59"/>
  <c r="R20" i="16" l="1"/>
  <c r="U19"/>
  <c r="U24"/>
  <c r="W27"/>
  <c r="W31" s="1"/>
  <c r="R24"/>
  <c r="S28" i="43"/>
  <c r="N276" i="70" s="1"/>
  <c r="S25" i="43"/>
  <c r="N273" i="70" s="1"/>
  <c r="S26" i="43"/>
  <c r="N274" i="70" s="1"/>
  <c r="S27" i="43"/>
  <c r="N275" i="70" s="1"/>
  <c r="S63" i="43"/>
  <c r="S24"/>
  <c r="U61" s="1"/>
  <c r="S19"/>
  <c r="R32" i="16"/>
  <c r="R31"/>
  <c r="L20" i="17"/>
  <c r="O20" s="1"/>
  <c r="L19"/>
  <c r="O19" s="1"/>
  <c r="L18"/>
  <c r="O18" s="1"/>
  <c r="L17"/>
  <c r="O17" s="1"/>
  <c r="R72" i="16"/>
  <c r="N57" i="70" s="1"/>
  <c r="N18" i="39"/>
  <c r="Q18" s="1"/>
  <c r="N17" i="25"/>
  <c r="Q17" s="1"/>
  <c r="Q32" i="24"/>
  <c r="Q31" s="1"/>
  <c r="Q29"/>
  <c r="Q28"/>
  <c r="Q27"/>
  <c r="N24"/>
  <c r="Q24" s="1"/>
  <c r="N23"/>
  <c r="Q23" s="1"/>
  <c r="N20"/>
  <c r="Q20" s="1"/>
  <c r="N18"/>
  <c r="Q18" s="1"/>
  <c r="N25" i="23"/>
  <c r="Q25" s="1"/>
  <c r="Q24"/>
  <c r="Q19"/>
  <c r="Q18"/>
  <c r="Q17"/>
  <c r="N18" i="22"/>
  <c r="Q18" s="1"/>
  <c r="N17"/>
  <c r="Q17" s="1"/>
  <c r="O79" i="16"/>
  <c r="R79" s="1"/>
  <c r="O78"/>
  <c r="R78" s="1"/>
  <c r="O77"/>
  <c r="R77" s="1"/>
  <c r="O34" i="17"/>
  <c r="N73" i="70" s="1"/>
  <c r="O26" i="17"/>
  <c r="O25"/>
  <c r="O24"/>
  <c r="O23"/>
  <c r="O57" i="16"/>
  <c r="R57" s="1"/>
  <c r="R56" s="1"/>
  <c r="O53"/>
  <c r="R53" s="1"/>
  <c r="R52" s="1"/>
  <c r="R36"/>
  <c r="R35"/>
  <c r="R28"/>
  <c r="R27"/>
  <c r="R22"/>
  <c r="R19"/>
  <c r="R17"/>
  <c r="Q18" i="11"/>
  <c r="N418" i="70" s="1"/>
  <c r="Q17" i="11"/>
  <c r="R76" i="16" l="1"/>
  <c r="O22" i="17"/>
  <c r="O15" s="1"/>
  <c r="Q17" i="24"/>
  <c r="Q26"/>
  <c r="N311" i="70"/>
  <c r="U62" i="43"/>
  <c r="S23"/>
  <c r="R42" i="16"/>
  <c r="N55" i="70" s="1"/>
  <c r="R75" i="16"/>
  <c r="N58" i="70" s="1"/>
  <c r="Q16" i="23"/>
  <c r="N402" i="70" s="1"/>
  <c r="N401" s="1"/>
  <c r="R16" i="16"/>
  <c r="Q23" i="23"/>
  <c r="N272" i="70"/>
  <c r="S18" i="43"/>
  <c r="N267" i="70"/>
  <c r="Q22" i="24"/>
  <c r="N105" i="70" s="1"/>
  <c r="N107"/>
  <c r="N417"/>
  <c r="N416" s="1"/>
  <c r="N415" s="1"/>
  <c r="Q24" i="11"/>
  <c r="H25" i="37" s="1"/>
  <c r="J17" s="1"/>
  <c r="Q16" i="11"/>
  <c r="Q15" s="1"/>
  <c r="S26" i="44"/>
  <c r="I15" i="37" s="1"/>
  <c r="N72" i="70"/>
  <c r="Q17" i="39"/>
  <c r="Q16" s="1"/>
  <c r="Q24" s="1"/>
  <c r="H27" i="37" s="1"/>
  <c r="N427" i="70"/>
  <c r="N426" s="1"/>
  <c r="N425" s="1"/>
  <c r="R30" i="16"/>
  <c r="Q16" i="25"/>
  <c r="Q34" i="24"/>
  <c r="E9" i="37" s="1"/>
  <c r="N106" i="70"/>
  <c r="Q16" i="22"/>
  <c r="N398" i="70" s="1"/>
  <c r="N397" s="1"/>
  <c r="N396" s="1"/>
  <c r="R34" i="16"/>
  <c r="N54" i="70" s="1"/>
  <c r="O16" i="17"/>
  <c r="N404" i="70" l="1"/>
  <c r="N403" s="1"/>
  <c r="N400" s="1"/>
  <c r="Q22" i="23"/>
  <c r="Q15" s="1"/>
  <c r="J7" i="37"/>
  <c r="R15" i="16"/>
  <c r="N271" i="70"/>
  <c r="N265"/>
  <c r="N52"/>
  <c r="N51"/>
  <c r="S65" i="43"/>
  <c r="I20" i="37" s="1"/>
  <c r="I32" s="1"/>
  <c r="I33" s="1"/>
  <c r="Q34" i="23"/>
  <c r="H23" i="37" s="1"/>
  <c r="J14" s="1"/>
  <c r="Q16" i="24"/>
  <c r="N104" i="70"/>
  <c r="O37" i="17"/>
  <c r="H4" i="37" s="1"/>
  <c r="J4" s="1"/>
  <c r="N71" i="70"/>
  <c r="N70" s="1"/>
  <c r="Q21" i="22"/>
  <c r="E22" i="37" s="1"/>
  <c r="J11" s="1"/>
  <c r="S17" i="43"/>
  <c r="N50" i="70" l="1"/>
  <c r="N49" s="1"/>
  <c r="R90" i="16"/>
  <c r="E32" i="37"/>
  <c r="E33" s="1"/>
  <c r="Q169" i="70"/>
  <c r="Q164"/>
  <c r="Q168"/>
  <c r="Q163"/>
  <c r="Q162" s="1"/>
  <c r="N264"/>
  <c r="Q171"/>
  <c r="U54" i="43"/>
  <c r="J16" i="37"/>
  <c r="N103" i="70"/>
  <c r="N102" s="1"/>
  <c r="N69"/>
  <c r="Q15" i="22"/>
  <c r="O31" i="5"/>
  <c r="R31" s="1"/>
  <c r="O30"/>
  <c r="R30" s="1"/>
  <c r="O29"/>
  <c r="R29" s="1"/>
  <c r="O28"/>
  <c r="R28" s="1"/>
  <c r="O20"/>
  <c r="R20" s="1"/>
  <c r="O19"/>
  <c r="R19" s="1"/>
  <c r="O18"/>
  <c r="R18" s="1"/>
  <c r="H3" i="37" l="1"/>
  <c r="J3" s="1"/>
  <c r="Q49" i="70"/>
  <c r="Q51" s="1"/>
  <c r="Q57"/>
  <c r="N155"/>
  <c r="N409"/>
  <c r="N408" s="1"/>
  <c r="N394" s="1"/>
  <c r="V54" i="43"/>
  <c r="V56" s="1"/>
  <c r="U55"/>
  <c r="R17" i="5"/>
  <c r="R27"/>
  <c r="N48" i="70" s="1"/>
  <c r="B38" i="37" l="1"/>
  <c r="B39" s="1"/>
  <c r="R33" i="5"/>
  <c r="H2" i="37" s="1"/>
  <c r="N46" i="70"/>
  <c r="J2" i="37" l="1"/>
  <c r="J32" s="1"/>
  <c r="N45" i="70"/>
  <c r="Q56" s="1"/>
  <c r="N44" l="1"/>
  <c r="N42" l="1"/>
  <c r="Q42" l="1"/>
  <c r="Q18" i="89"/>
  <c r="N438" i="70" l="1"/>
  <c r="Q17" i="89"/>
  <c r="N437" i="70" l="1"/>
  <c r="N436" s="1"/>
  <c r="Q16" i="89"/>
  <c r="Q52" s="1"/>
  <c r="H30" i="37" s="1"/>
  <c r="H32" s="1"/>
  <c r="H33" s="1"/>
  <c r="S47" i="89"/>
  <c r="N435" i="70" l="1"/>
  <c r="T41" i="71"/>
  <c r="T36" i="90"/>
  <c r="T38" s="1"/>
  <c r="N429" i="70" l="1"/>
  <c r="Q165" s="1"/>
  <c r="T35" i="90"/>
  <c r="T39" s="1"/>
  <c r="T43" i="71"/>
  <c r="N466" i="70" l="1"/>
  <c r="N467" s="1"/>
  <c r="Q475" s="1"/>
  <c r="R467" l="1"/>
</calcChain>
</file>

<file path=xl/sharedStrings.xml><?xml version="1.0" encoding="utf-8"?>
<sst xmlns="http://schemas.openxmlformats.org/spreadsheetml/2006/main" count="3689" uniqueCount="640">
  <si>
    <t>NO</t>
  </si>
  <si>
    <t>URAIAN</t>
  </si>
  <si>
    <t>VOLUME</t>
  </si>
  <si>
    <t>JUMLAH</t>
  </si>
  <si>
    <t>HARGA SATUAN</t>
  </si>
  <si>
    <t>(Rp.)</t>
  </si>
  <si>
    <t>RENCANA ANGGARAN BIAYA</t>
  </si>
  <si>
    <t>1.</t>
  </si>
  <si>
    <t>2.</t>
  </si>
  <si>
    <t>3.</t>
  </si>
  <si>
    <t>Bidang</t>
  </si>
  <si>
    <t>Kegiatan</t>
  </si>
  <si>
    <t>:</t>
  </si>
  <si>
    <t>Belanja Pegawai</t>
  </si>
  <si>
    <t>-</t>
  </si>
  <si>
    <t>Penghasilan Tetap Kepala Desa &amp; Perangkat Desa</t>
  </si>
  <si>
    <t xml:space="preserve">Kepala Desa </t>
  </si>
  <si>
    <t>Org</t>
  </si>
  <si>
    <t xml:space="preserve">Kepala Urusan Desa </t>
  </si>
  <si>
    <t xml:space="preserve">Kepala Dusun </t>
  </si>
  <si>
    <t>x</t>
  </si>
  <si>
    <t>Bln</t>
  </si>
  <si>
    <t>Waktu Pelaksanaan</t>
  </si>
  <si>
    <t>Tunjangan BPD</t>
  </si>
  <si>
    <t>Tunjangan Ketua BPD</t>
  </si>
  <si>
    <t>Tunjangan Wakil Ketua BPD</t>
  </si>
  <si>
    <t>Tunjangan Sekretaris BPD</t>
  </si>
  <si>
    <t>Tunjangan Anggota BPD</t>
  </si>
  <si>
    <t>2.1. Penyelenggara  Pemerintahan Desa</t>
  </si>
  <si>
    <t>Belanja Barang dan Jasa</t>
  </si>
  <si>
    <t>Alat Tulis kantor</t>
  </si>
  <si>
    <t>Kertas HVS Folio</t>
  </si>
  <si>
    <t>Amplop</t>
  </si>
  <si>
    <t>Ballpoint snawman</t>
  </si>
  <si>
    <t>Hetter</t>
  </si>
  <si>
    <t>dos</t>
  </si>
  <si>
    <t>Materai 6000</t>
  </si>
  <si>
    <t>Materai 3000</t>
  </si>
  <si>
    <t>lbr</t>
  </si>
  <si>
    <t>OB</t>
  </si>
  <si>
    <t>Perjalanan Dinas</t>
  </si>
  <si>
    <t>Kepala Desa</t>
  </si>
  <si>
    <t>Aparat Desa</t>
  </si>
  <si>
    <t>OK</t>
  </si>
  <si>
    <t>Perjalanan Dinas Dalam Propinsi</t>
  </si>
  <si>
    <t>Perjalanan Dinas Keluar Propinsi</t>
  </si>
  <si>
    <t xml:space="preserve">                                            </t>
  </si>
  <si>
    <t>SATUAN</t>
  </si>
  <si>
    <t>Belanja Barang &amp; Jasa</t>
  </si>
  <si>
    <t>Ketua</t>
  </si>
  <si>
    <t>Anggota</t>
  </si>
  <si>
    <t>Konsumsi</t>
  </si>
  <si>
    <t>Makanan</t>
  </si>
  <si>
    <t>Dos</t>
  </si>
  <si>
    <t>Snack</t>
  </si>
  <si>
    <t>Bh</t>
  </si>
  <si>
    <t>2.2 Pelaksanaan Pembangunan Desa</t>
  </si>
  <si>
    <t>Upah Kerja</t>
  </si>
  <si>
    <t>Tukang</t>
  </si>
  <si>
    <t>Hari</t>
  </si>
  <si>
    <t>Belanja Modal</t>
  </si>
  <si>
    <t>Pasir</t>
  </si>
  <si>
    <t>Semen</t>
  </si>
  <si>
    <t>Zak</t>
  </si>
  <si>
    <t>2.3 Pembinaan Kemasyarakatan</t>
  </si>
  <si>
    <t>2.3.1  Pembinaan Ketentraman dan Ketertiban Desa</t>
  </si>
  <si>
    <t>Sekretaris</t>
  </si>
  <si>
    <t>2.1.2 Operasional Perkantoran</t>
  </si>
  <si>
    <t>Penggandaan</t>
  </si>
  <si>
    <t>Foto Copy</t>
  </si>
  <si>
    <t>Konsumsi Rapat</t>
  </si>
  <si>
    <t>2.1.3  Operasional BPD</t>
  </si>
  <si>
    <t>2.1.1 Penghasilan Tetap dan Tunjangan</t>
  </si>
  <si>
    <t>- Honor Sidang BPD</t>
  </si>
  <si>
    <t>Wakil Ketua</t>
  </si>
  <si>
    <t>Bendahara</t>
  </si>
  <si>
    <t>1 Tahun</t>
  </si>
  <si>
    <t>Alat Tulis Kantor</t>
  </si>
  <si>
    <t>Bahan/Peralatan Olahraga</t>
  </si>
  <si>
    <t>Honor Kader Posyandu</t>
  </si>
  <si>
    <t>Kode</t>
  </si>
  <si>
    <t>Nama Bidang/Kegiatan</t>
  </si>
  <si>
    <t>Bidang Penyelenggaraan Pemerintahan Desa</t>
  </si>
  <si>
    <t>Penghasilan Tetap dan Tunjangan</t>
  </si>
  <si>
    <t>Operasional Perkantoran</t>
  </si>
  <si>
    <t>Operasional BPD</t>
  </si>
  <si>
    <t>Operasional RT/RW</t>
  </si>
  <si>
    <t>Bidang Pelaksanaan Pembangunan Desa</t>
  </si>
  <si>
    <t>Perbaikan Saluran Irigasi</t>
  </si>
  <si>
    <t>Pengaspalan Jalan Desa</t>
  </si>
  <si>
    <t>Pembangunan/Rehabilitasi Drainase/Gorong-gorong</t>
  </si>
  <si>
    <t>Pengadaan sarana dan Prasarana Air Bersih</t>
  </si>
  <si>
    <t>Pembangunan/Rehabilitasi Kantor Desa</t>
  </si>
  <si>
    <t>Pembangunan/Rehabilitasi Kantor BPD</t>
  </si>
  <si>
    <t>Pembangunan /Rehabilitasi Posyandu</t>
  </si>
  <si>
    <t>Pembinaan Lembaga Ekonomi Desa (KUD,USP dll)</t>
  </si>
  <si>
    <t>Pembangunan/Rehabilitasi fasilitas Perhubungan</t>
  </si>
  <si>
    <t>Peningkatan Hutan Desa</t>
  </si>
  <si>
    <t>Peningkatan Perkebunan</t>
  </si>
  <si>
    <t>Peningkatan Pertanian</t>
  </si>
  <si>
    <t>Peningkatan Peternakan</t>
  </si>
  <si>
    <t>Peningkatan Perikanan</t>
  </si>
  <si>
    <t>Pembangunan/Rehabilitasi Sarana Olah Raga</t>
  </si>
  <si>
    <t>Pembangunan/Rehabilitasi Fasilitas Perdagangan</t>
  </si>
  <si>
    <t>Bidang Pembinaan Kemasyarakatan</t>
  </si>
  <si>
    <t>Pembinaan Ketentraman dan Ketertiban</t>
  </si>
  <si>
    <t>Penataan Batas wilayah Desa dan Dusun</t>
  </si>
  <si>
    <t>Pemilihan Kepala Desa</t>
  </si>
  <si>
    <t>Pembentukan Badan Permusyawaratan Desa</t>
  </si>
  <si>
    <t>Pemilihan Kepala Dusun</t>
  </si>
  <si>
    <t>Pembinaan PKK Desa</t>
  </si>
  <si>
    <t>Pembinaan Lembaga Adat</t>
  </si>
  <si>
    <t>Pembinaan Lembaga Keagamaan</t>
  </si>
  <si>
    <t>Pembinaan Lembaga Kepemudaan</t>
  </si>
  <si>
    <t>Pembinaan Keolahragaan</t>
  </si>
  <si>
    <t>Pembinaan Seni dan Budaya</t>
  </si>
  <si>
    <t>Pembinaan Lembaga Permusayawaratan Masyarakat Desa (LPMD)</t>
  </si>
  <si>
    <t>Bidang Pemberdayaan Masyarakat</t>
  </si>
  <si>
    <t>Pelatihan Kepala Desa dan Perangkat</t>
  </si>
  <si>
    <t>Pelaksanaan Musrembang Desa</t>
  </si>
  <si>
    <t>Penyusunan RPJM Desa</t>
  </si>
  <si>
    <t>Penyusunan RKPD Desa</t>
  </si>
  <si>
    <t>Penyusunan APBD Desa</t>
  </si>
  <si>
    <t>Penyusunan Laporan Pertanggungjawaban Kepala Desa</t>
  </si>
  <si>
    <t>Penyusunan Peraturan Desa</t>
  </si>
  <si>
    <t>Pembinaan Kader Posyandu</t>
  </si>
  <si>
    <t>Bidang Tak Terduga</t>
  </si>
  <si>
    <t>Kejadian Luar Biasa</t>
  </si>
  <si>
    <t>KODE</t>
  </si>
  <si>
    <t>REKENING</t>
  </si>
  <si>
    <t>ANGGARAN</t>
  </si>
  <si>
    <t>KETERANGAN</t>
  </si>
  <si>
    <t>ANGGARAN PENDAPATAN DAN BELANJA DESA</t>
  </si>
  <si>
    <t>PENDAPATAN</t>
  </si>
  <si>
    <t>Pendapatan Asli Desa</t>
  </si>
  <si>
    <t>Hasil Usaha</t>
  </si>
  <si>
    <t>Swadaya, Partisipasi dan Gotong Royong</t>
  </si>
  <si>
    <t>Lain-lain Pendapatan Asli Desa yang sah</t>
  </si>
  <si>
    <t>Pendapatan Transfer</t>
  </si>
  <si>
    <t>Dana Desa</t>
  </si>
  <si>
    <t>Bagian dari hasil pajak &amp; retribusi</t>
  </si>
  <si>
    <t>Alokasi Dana Desa</t>
  </si>
  <si>
    <t>Bantuan Keuangan</t>
  </si>
  <si>
    <t>Bantuan Provinsi</t>
  </si>
  <si>
    <t>Bantuan Kabupaten</t>
  </si>
  <si>
    <t>Pendapatan Lain-lain</t>
  </si>
  <si>
    <t xml:space="preserve">Hibah dan Sumbangan dari pihak ke-3 yang tidak mengikat </t>
  </si>
  <si>
    <t>Lain-lain Pendapatan Desa yang sah</t>
  </si>
  <si>
    <t>JUMLAH PENDAPATAN</t>
  </si>
  <si>
    <t>BELANJA</t>
  </si>
  <si>
    <t>Belanja Pegawai:</t>
  </si>
  <si>
    <t>Belanja Pos</t>
  </si>
  <si>
    <t>Pemeliharaan</t>
  </si>
  <si>
    <t>Honor</t>
  </si>
  <si>
    <t>ATK</t>
  </si>
  <si>
    <t>Bidang Pelaksanaan Pembangunan  Desa</t>
  </si>
  <si>
    <t>Kegiatan Pembinaan Ketentraman dan Ketertiban</t>
  </si>
  <si>
    <t>JUMLAH BELANJA</t>
  </si>
  <si>
    <t>SURPLUS/ DEFISIT</t>
  </si>
  <si>
    <t>Penerimaan Pembiayaan</t>
  </si>
  <si>
    <t>PEMBIAYAAN</t>
  </si>
  <si>
    <t>SILPA</t>
  </si>
  <si>
    <t>Hasil Kekayaan Desa Yang dipisahkan</t>
  </si>
  <si>
    <t>JUMLAH (RP)</t>
  </si>
  <si>
    <t>Pengeluaran Pembiayaan</t>
  </si>
  <si>
    <t>Pembentukan dana cadangan</t>
  </si>
  <si>
    <t>Penyertaan Modal Desa</t>
  </si>
  <si>
    <t>Disetujui / Mengesahkan</t>
  </si>
  <si>
    <t>Disetujui / mengesahkan</t>
  </si>
  <si>
    <t>Wabah Penyakit</t>
  </si>
  <si>
    <t>Bencana Alam</t>
  </si>
  <si>
    <t>Honor Sidang</t>
  </si>
  <si>
    <t>Kegiatan Pembinaan PKK Desa</t>
  </si>
  <si>
    <t>Kegiatan Pembinaan Kader Posyandu</t>
  </si>
  <si>
    <t>Kegiatan Penghasilan Tetap dan Tunjangan</t>
  </si>
  <si>
    <t>Pencairan dana cadangan</t>
  </si>
  <si>
    <t>Buah</t>
  </si>
  <si>
    <t>Paket</t>
  </si>
  <si>
    <t>Belanja Cetak dan Penggandaan</t>
  </si>
  <si>
    <t>Peningkatan Kesehatan Masyarakat/Panrita Siaga Aktif</t>
  </si>
  <si>
    <t>OS</t>
  </si>
  <si>
    <t>DISETUJUI OLEH :</t>
  </si>
  <si>
    <t>M3</t>
  </si>
  <si>
    <t>Pembangunan/Rehab. Jalan dan Jembatan Desa</t>
  </si>
  <si>
    <t>Upah Pungut PBB</t>
  </si>
  <si>
    <t>Pengembalian kelebihan atas penerimaan desa</t>
  </si>
  <si>
    <t>DESA KAHAYYA KECAMATAN KINDANG</t>
  </si>
  <si>
    <t>Honor Guru TKA/TPA</t>
  </si>
  <si>
    <t>Honor Pengurus TKA/TPA</t>
  </si>
  <si>
    <t xml:space="preserve">Honor Kader </t>
  </si>
  <si>
    <t>2.4 Pemberdayaan Masyarakat</t>
  </si>
  <si>
    <t>Rim</t>
  </si>
  <si>
    <t>Btl</t>
  </si>
  <si>
    <t>Pelaksana Kegiatan,</t>
  </si>
  <si>
    <t xml:space="preserve">Pemeliharaan </t>
  </si>
  <si>
    <t>Foto Copy dan Penggandaan</t>
  </si>
  <si>
    <t>Jilid</t>
  </si>
  <si>
    <t xml:space="preserve">Foto Copy </t>
  </si>
  <si>
    <t>Honor Tim Keamanan dan Ketertiban</t>
  </si>
  <si>
    <t>Honor Keamanan dan Ketertiban</t>
  </si>
  <si>
    <t>Kegiatan Pembinaan Lembaga Keagamaan</t>
  </si>
  <si>
    <t>Honorarium Pengurus TKA/TPA</t>
  </si>
  <si>
    <t>Honor Panitia</t>
  </si>
  <si>
    <t>Pekerja</t>
  </si>
  <si>
    <t>Honor Panitia/Tim</t>
  </si>
  <si>
    <t>Kegiatan Pelaksanaan Musrenbang Desa</t>
  </si>
  <si>
    <t>Ketua RT</t>
  </si>
  <si>
    <t>Ketua RK</t>
  </si>
  <si>
    <t>JUMLAH (Rp)</t>
  </si>
  <si>
    <t>Kegiatan Pembinaan Keolahragaan</t>
  </si>
  <si>
    <t>Volume</t>
  </si>
  <si>
    <t>TAHUN ANGGARAN 2016</t>
  </si>
  <si>
    <t>Kali</t>
  </si>
  <si>
    <t>Ok</t>
  </si>
  <si>
    <t>- Oil</t>
  </si>
  <si>
    <t>Upah Pungut Kolektor PBB</t>
  </si>
  <si>
    <t>Sumber Dana</t>
  </si>
  <si>
    <t>PBB-P2</t>
  </si>
  <si>
    <t>Rincian Anggaran</t>
  </si>
  <si>
    <t>4.</t>
  </si>
  <si>
    <t>Alokasi Dana Desa Tahun 2016</t>
  </si>
  <si>
    <t>Rincian Anggaran :</t>
  </si>
  <si>
    <t>2.1.4  Operasional RK/RT</t>
  </si>
  <si>
    <t>NOMOR</t>
  </si>
  <si>
    <t>TAHUN</t>
  </si>
  <si>
    <t>TENTANG</t>
  </si>
  <si>
    <t>Kegiatan Penyusunan APBDesa</t>
  </si>
  <si>
    <t>Operasional RK/RT</t>
  </si>
  <si>
    <t>5.</t>
  </si>
  <si>
    <t>Lokasi Kegiatan</t>
  </si>
  <si>
    <t>6.</t>
  </si>
  <si>
    <t xml:space="preserve">: </t>
  </si>
  <si>
    <t>dst, … …</t>
  </si>
  <si>
    <t>Pembangunan/Rehabilitasi Tugu</t>
  </si>
  <si>
    <t>Pembangunan/Rehabilitasi Pos Kesdes</t>
  </si>
  <si>
    <t>Pembangunan/rehabilitasi Sarana Parawisata</t>
  </si>
  <si>
    <t>Pembangunan /Rehabilitasi Pasar Desa</t>
  </si>
  <si>
    <t>Pembangunan/rehabilitasi Pos Kamling</t>
  </si>
  <si>
    <t>Pengadaan Tanah/Persertifikatan</t>
  </si>
  <si>
    <t>Pembangunan/Rehabiltasi Balai Desa</t>
  </si>
  <si>
    <t>Bidang Pembinaan Kemasyarakatan Desa</t>
  </si>
  <si>
    <t>Pelaksanaan Musrenbang Desa</t>
  </si>
  <si>
    <t>sdt, … …</t>
  </si>
  <si>
    <t>Bidang Pemberdayaan Masyarakat Desa</t>
  </si>
  <si>
    <t>Pelatihan Usaha Ekonomi</t>
  </si>
  <si>
    <t>Pelatihan Usaha Pertanian</t>
  </si>
  <si>
    <t>Pelatihan Usaha Perikanan</t>
  </si>
  <si>
    <t>Pelatihan Usaha Perdagangan</t>
  </si>
  <si>
    <t>Pelatihan teknologi tepat guna</t>
  </si>
  <si>
    <t>Pendidikan, pelatihan, dan penyuluhan bagi Kepala Desa</t>
  </si>
  <si>
    <t>Pendidikan,Pelatihan, dan penytuluhan bagi perangkat Desa</t>
  </si>
  <si>
    <t>Pendidikan,Pelatihann dan penyuluhan bagi Badan Permusyawaratan Desa</t>
  </si>
  <si>
    <t xml:space="preserve">Peningkatan Kapasitas Kader Pemberdayaan Masyarakat Desa </t>
  </si>
  <si>
    <t xml:space="preserve">Peningkatan Kapasitas Masyarakat Desa kelompok uasaha ekonomi produktif </t>
  </si>
  <si>
    <t>Peningkatan kapasitas Masyarakat Desa/Panrita Siaga Aktif</t>
  </si>
  <si>
    <t>Peningkatan kapasitas Masyarakat Desa Kelompok Pengrajin</t>
  </si>
  <si>
    <t>Peningkatan kapasitas Masyarakat Desa Kelompok Nelayan</t>
  </si>
  <si>
    <t>Peningkatan kapasitas Masyarakat Desa Kelompok Tani</t>
  </si>
  <si>
    <t>Operasional Upah Pungut</t>
  </si>
  <si>
    <t>Penyusunan Profil Desa</t>
  </si>
  <si>
    <t>Belanja Makan dan Minum Rapat</t>
  </si>
  <si>
    <t>- Makanan</t>
  </si>
  <si>
    <t>- Snack</t>
  </si>
  <si>
    <t>- Ketua RK</t>
  </si>
  <si>
    <t>- Ketua RT</t>
  </si>
  <si>
    <t>2.4.9  Peningkatan Kapasitas Kader Pemberdayaan Masyarakat Desa</t>
  </si>
  <si>
    <t>Honor KPMD</t>
  </si>
  <si>
    <t>Raket</t>
  </si>
  <si>
    <t>Insentif Ketua RK/RT</t>
  </si>
  <si>
    <t>Alat Tulis Kanotr</t>
  </si>
  <si>
    <t>Stander Cop</t>
  </si>
  <si>
    <t>Tunjangan Kesehatan Kepala Desa &amp; Perangkat Desa</t>
  </si>
  <si>
    <t>Net</t>
  </si>
  <si>
    <t>Biaya Pelatihan</t>
  </si>
  <si>
    <t>KPMD</t>
  </si>
  <si>
    <t>2.3.4  Pembinaan Kagamaan</t>
  </si>
  <si>
    <t>2.3.6  Pembinaan Keolahragaan</t>
  </si>
  <si>
    <t>2.3.9  Pembinaan Kader Posyandu</t>
  </si>
  <si>
    <t>2.3.2  Pembinaan PKK Desa</t>
  </si>
  <si>
    <t>Rincian Biaya</t>
  </si>
  <si>
    <t>- Pekerja</t>
  </si>
  <si>
    <t>- Tukang</t>
  </si>
  <si>
    <t>HOK</t>
  </si>
  <si>
    <t>Kegiatan Operasional Upah Pungut</t>
  </si>
  <si>
    <t>Tunjangan Kesehatan Kepala Desa dan Perangkat Desa</t>
  </si>
  <si>
    <t>2.2  Pelaksanaan Pembangunan Desa</t>
  </si>
  <si>
    <t>BDD</t>
  </si>
  <si>
    <t>Kendaraan Dinas Roda Dua (Motor)</t>
  </si>
  <si>
    <t>ADD</t>
  </si>
  <si>
    <t>PBB P2</t>
  </si>
  <si>
    <t>LAMPIRAN PERATURAN DESA KINDANG</t>
  </si>
  <si>
    <t>PEMERINTAH DESA KINDANG KECAMATAN KINDANG</t>
  </si>
  <si>
    <t>DESA KINDANG KECAMATAN KINDANG</t>
  </si>
  <si>
    <t>Tinta Printer  Hitam</t>
  </si>
  <si>
    <t>Tinta Printer Warna</t>
  </si>
  <si>
    <t>2.1.16  Pemilihan Kepala Desa</t>
  </si>
  <si>
    <t>Rangkap</t>
  </si>
  <si>
    <t>Lbr</t>
  </si>
  <si>
    <t>PJ. Kepala Desa,</t>
  </si>
  <si>
    <t>H.A. AWALUDDIN, S.Sos</t>
  </si>
  <si>
    <t>2.1  Penyelenggaraan Pemerintahan Desa</t>
  </si>
  <si>
    <t>Sidang</t>
  </si>
  <si>
    <t>2.1. Penyelenggaraan Pemerintahan Desa</t>
  </si>
  <si>
    <t>PJ. Kepala Desa</t>
  </si>
  <si>
    <t>H.A.AWALUDDIN, S.Sos</t>
  </si>
  <si>
    <t>Drs. MUH. ABDUH</t>
  </si>
  <si>
    <t>H.A.AWALUDDIN,S.Sos</t>
  </si>
  <si>
    <t>2.1 Penyelenggaraan pemerintahan Desa</t>
  </si>
  <si>
    <t>2.1.5  Upah Pungut PBB</t>
  </si>
  <si>
    <t>Buku Album</t>
  </si>
  <si>
    <t>2.1  Penyelenggaraan Pemerintahan desa</t>
  </si>
  <si>
    <t>2.1.10  Pelaksanaan Musrenbang Desa</t>
  </si>
  <si>
    <t>4</t>
  </si>
  <si>
    <t>2.1.13  Penyusunan APBDesa</t>
  </si>
  <si>
    <t>PJ.Kepala Desa,</t>
  </si>
  <si>
    <t>DESA KINDANG  KECAMATAN KINDANG</t>
  </si>
  <si>
    <t>Rincian Anggaran:</t>
  </si>
  <si>
    <t>2.3.8  Pembinaan LPMD</t>
  </si>
  <si>
    <t>Honor Pengurus LPMD</t>
  </si>
  <si>
    <t>Kegiatan Pembinaan LPMD</t>
  </si>
  <si>
    <t>Dusun Cibollo Desa Kindang</t>
  </si>
  <si>
    <t>Kegiatan Pemb./Rehab Gedung Serba Guna</t>
  </si>
  <si>
    <t>Drs. MUH. Abduh</t>
  </si>
  <si>
    <t>2.2.15  Pembangunan /Rehab Balai Desa/Gedung Serba Guna</t>
  </si>
  <si>
    <t>( H.A.AWALUDDIN, S.Sos )</t>
  </si>
  <si>
    <t>- Ka. Kelompok</t>
  </si>
  <si>
    <t>Pasir Pasang</t>
  </si>
  <si>
    <t>Batu Gunung</t>
  </si>
  <si>
    <t>Pasir urung</t>
  </si>
  <si>
    <t>Batu Bata</t>
  </si>
  <si>
    <t>Kerikil</t>
  </si>
  <si>
    <t>Keramik 20/20</t>
  </si>
  <si>
    <t>Keranik 40/40</t>
  </si>
  <si>
    <t>Papan 2/20</t>
  </si>
  <si>
    <t>Balok 6/12</t>
  </si>
  <si>
    <t>Balok 5/7</t>
  </si>
  <si>
    <t>Paku Kayu</t>
  </si>
  <si>
    <t>Seng</t>
  </si>
  <si>
    <t>Nok Seng</t>
  </si>
  <si>
    <t>Paku Seng</t>
  </si>
  <si>
    <t>Kaca t=5 mm</t>
  </si>
  <si>
    <t>Besi Beton D 10 mm</t>
  </si>
  <si>
    <t>Besi Beton D 6 mm</t>
  </si>
  <si>
    <t>Bendrat</t>
  </si>
  <si>
    <t>Cat Kayu</t>
  </si>
  <si>
    <t>Cat Tembok</t>
  </si>
  <si>
    <t>Menie Kayu</t>
  </si>
  <si>
    <t>Pintu PVC</t>
  </si>
  <si>
    <t>Kayu Bekisting Kls III</t>
  </si>
  <si>
    <t>Kuncian Pintu</t>
  </si>
  <si>
    <t>Grandel Pintu</t>
  </si>
  <si>
    <t>Engsel Pintu</t>
  </si>
  <si>
    <t>Engsel Jendela</t>
  </si>
  <si>
    <t>Kait Angin</t>
  </si>
  <si>
    <t>Closet</t>
  </si>
  <si>
    <r>
      <t xml:space="preserve">Pipa </t>
    </r>
    <r>
      <rPr>
        <sz val="9"/>
        <color theme="1"/>
        <rFont val="Calibri"/>
        <family val="2"/>
      </rPr>
      <t>Ø</t>
    </r>
    <r>
      <rPr>
        <sz val="9"/>
        <color theme="1"/>
        <rFont val="Bookman Old Style"/>
        <family val="1"/>
      </rPr>
      <t xml:space="preserve"> 3"</t>
    </r>
  </si>
  <si>
    <r>
      <t xml:space="preserve">Ellow </t>
    </r>
    <r>
      <rPr>
        <sz val="9"/>
        <color theme="1"/>
        <rFont val="Calibri"/>
        <family val="2"/>
      </rPr>
      <t>Ø</t>
    </r>
    <r>
      <rPr>
        <sz val="9"/>
        <color theme="1"/>
        <rFont val="Bookman Old Style"/>
        <family val="1"/>
      </rPr>
      <t xml:space="preserve"> 3"</t>
    </r>
  </si>
  <si>
    <r>
      <t xml:space="preserve">Ellow </t>
    </r>
    <r>
      <rPr>
        <sz val="9"/>
        <color theme="1"/>
        <rFont val="Calibri"/>
        <family val="2"/>
      </rPr>
      <t>Ø</t>
    </r>
    <r>
      <rPr>
        <sz val="9"/>
        <color theme="1"/>
        <rFont val="Bookman Old Style"/>
        <family val="1"/>
      </rPr>
      <t xml:space="preserve"> 1"</t>
    </r>
  </si>
  <si>
    <r>
      <t xml:space="preserve">Pipa </t>
    </r>
    <r>
      <rPr>
        <sz val="9"/>
        <color theme="1"/>
        <rFont val="Calibri"/>
        <family val="2"/>
      </rPr>
      <t>Ø</t>
    </r>
    <r>
      <rPr>
        <sz val="9"/>
        <color theme="1"/>
        <rFont val="Bookman Old Style"/>
        <family val="1"/>
      </rPr>
      <t xml:space="preserve"> 1/2"</t>
    </r>
  </si>
  <si>
    <t>Instalasi Listrik,Lampu Lapangan</t>
  </si>
  <si>
    <t>Urinior</t>
  </si>
  <si>
    <t>Ember Besar</t>
  </si>
  <si>
    <t>Kran Air</t>
  </si>
  <si>
    <t>Alat Bantu</t>
  </si>
  <si>
    <t>Grobak Dorong</t>
  </si>
  <si>
    <t>BH</t>
  </si>
  <si>
    <t>M2/DOS</t>
  </si>
  <si>
    <t>KG</t>
  </si>
  <si>
    <t>LBR</t>
  </si>
  <si>
    <t>M'</t>
  </si>
  <si>
    <t>M2</t>
  </si>
  <si>
    <t>BTG</t>
  </si>
  <si>
    <t>PSG</t>
  </si>
  <si>
    <t>Ls</t>
  </si>
  <si>
    <t>SET</t>
  </si>
  <si>
    <t>2.2.3  Rehab. Jalan Desa (Rabat Beton)</t>
  </si>
  <si>
    <t>Pasir Pasangan</t>
  </si>
  <si>
    <t>Semen Portland</t>
  </si>
  <si>
    <t>Kerikil tersaring</t>
  </si>
  <si>
    <t>Kayu/Papan</t>
  </si>
  <si>
    <t>Kebutuhan Air</t>
  </si>
  <si>
    <t>Gerobak</t>
  </si>
  <si>
    <t>Skop</t>
  </si>
  <si>
    <t>Ember</t>
  </si>
  <si>
    <t>Drum</t>
  </si>
  <si>
    <t>Tali</t>
  </si>
  <si>
    <t>Roll</t>
  </si>
  <si>
    <t>2.2.6  Pembangunan /Rehab. Posyandu</t>
  </si>
  <si>
    <t>Instalasi Listrik,Lampu</t>
  </si>
  <si>
    <t>2.2.16  Pembangunan /Rehab Gedung Taman Kanak-Kanan (TK)</t>
  </si>
  <si>
    <t>Tripleks 4 mm</t>
  </si>
  <si>
    <t>Mobiler</t>
  </si>
  <si>
    <t>Psg</t>
  </si>
  <si>
    <t>Kegiatan Pembangunan/Rehab. Jalan Desa (Rabat Beton)</t>
  </si>
  <si>
    <t>Kegiatan Pembangunan/Rehab. POSYANDU</t>
  </si>
  <si>
    <t>Kegiatan Pemb./Rehab Gedung Taman Kanak-Kanak (TK)</t>
  </si>
  <si>
    <t>Kegiatan Pemilihan Kepala Desa</t>
  </si>
  <si>
    <t>Belanja Listrik</t>
  </si>
  <si>
    <t>- Listrik</t>
  </si>
  <si>
    <t>Pipa Ø 3"</t>
  </si>
  <si>
    <t>Ellow Ø 3"</t>
  </si>
  <si>
    <t>Ellow Ø 1"</t>
  </si>
  <si>
    <t>Pipa Ø 1/2"</t>
  </si>
  <si>
    <t>Pj. Kepala Desa,</t>
  </si>
  <si>
    <t>- Bagi Hasil Pajak Daerah</t>
  </si>
  <si>
    <t>- Bagi Hasil Retrebusi Daerah</t>
  </si>
  <si>
    <t>- PBB-P2</t>
  </si>
  <si>
    <t>02</t>
  </si>
  <si>
    <t>2.2.5  Pengadaan Sarana dan Prasarana Air Bersih</t>
  </si>
  <si>
    <t>Pipa Aw 1.5 Inci</t>
  </si>
  <si>
    <t>Lem Pipa</t>
  </si>
  <si>
    <t>Accessoris</t>
  </si>
  <si>
    <t>Cangkul</t>
  </si>
  <si>
    <t>Btg</t>
  </si>
  <si>
    <t>Klng</t>
  </si>
  <si>
    <t>Pembangunan Taman Kanak-Kanak</t>
  </si>
  <si>
    <t>Upah Kerja Pembangunan Taman Kanak-Kanak</t>
  </si>
  <si>
    <t>Upah Kerja Rehab. TK-PGRI Cibollo</t>
  </si>
  <si>
    <t>Pipa Pembuangan</t>
  </si>
  <si>
    <t>Baut-baut</t>
  </si>
  <si>
    <t>Seng Spandek</t>
  </si>
  <si>
    <t>Rehab TK-PGRI Cibollo</t>
  </si>
  <si>
    <t>Rangka Baja Ringan</t>
  </si>
  <si>
    <t>Reng Baja Ringan</t>
  </si>
  <si>
    <t>Kertas HVS Folio 70 Gsm</t>
  </si>
  <si>
    <t>Kegiatan Pembentukan BUMDes</t>
  </si>
  <si>
    <t xml:space="preserve">2.1.8 Penyusunan Profil Desa </t>
  </si>
  <si>
    <t>Honor Pendata</t>
  </si>
  <si>
    <t>KK</t>
  </si>
  <si>
    <t xml:space="preserve">- Pendataan </t>
  </si>
  <si>
    <t>Alat Tuli Kantor</t>
  </si>
  <si>
    <t>- Pensil</t>
  </si>
  <si>
    <t>- Penghapus</t>
  </si>
  <si>
    <t>Kegiatan Penyusunan Frofil Desa</t>
  </si>
  <si>
    <t>- Modem + Kartu</t>
  </si>
  <si>
    <t>Set</t>
  </si>
  <si>
    <t>- Bagi Hasil pajak &amp; Retrebusi</t>
  </si>
  <si>
    <t>2.4.7 Pendidikan, pelatihan, dan penyuluhan bagi aparat desa</t>
  </si>
  <si>
    <t>April 2016</t>
  </si>
  <si>
    <t>Kegiatan Pendidikan, Pelatihan &amp; Penyuluhan bagi Aparat Desa</t>
  </si>
  <si>
    <t>18.5  x 9 x  5,5 M</t>
  </si>
  <si>
    <t>2.3 Pembinaan Kemasyarakatan Desa</t>
  </si>
  <si>
    <t>Pj. KEPALA DESA</t>
  </si>
  <si>
    <t>Kebun Desa</t>
  </si>
  <si>
    <t>Pasar Desa</t>
  </si>
  <si>
    <t>Tahun</t>
  </si>
  <si>
    <t>- Operator</t>
  </si>
  <si>
    <t>Biaya Pelatihan SIMKEUDES</t>
  </si>
  <si>
    <t>Unit</t>
  </si>
  <si>
    <t>Kegiatan  Pengadaan Tanah/Pensertivikatan</t>
  </si>
  <si>
    <t>Bidang Pembinaan Masyarakat Desa</t>
  </si>
  <si>
    <t>Bidang Pemberdayaan  Masyarakat Desa</t>
  </si>
  <si>
    <t>Belaja Alat Tulis Kantor</t>
  </si>
  <si>
    <t>Kertas HVS Volio</t>
  </si>
  <si>
    <t>Ballpoint</t>
  </si>
  <si>
    <t>Dusun Cibollo &amp; Dusun Sapayya Desa Kindang</t>
  </si>
  <si>
    <t>800 M</t>
  </si>
  <si>
    <t>Upah Kerja Rabat Beton Cibollo (650 M)</t>
  </si>
  <si>
    <t>Upah Kerja Rabat Beton Sapayya (150 M)</t>
  </si>
  <si>
    <t>Belanja Modal Rabat Beton Cibollo (650 M)</t>
  </si>
  <si>
    <t>Lem Besar</t>
  </si>
  <si>
    <t>Map Snallhecter Seagul</t>
  </si>
  <si>
    <t>Map Besar</t>
  </si>
  <si>
    <t>Ballpoint snowman V1</t>
  </si>
  <si>
    <t>Spidol Snowman Permanent</t>
  </si>
  <si>
    <t>Peluru Hetter</t>
  </si>
  <si>
    <t>Pelubang Kertas</t>
  </si>
  <si>
    <t>Jepit Kertas</t>
  </si>
  <si>
    <t>Perjalanan Dinas ke Kecamatan</t>
  </si>
  <si>
    <t>Perjalanan Dinas ke Kabupaten</t>
  </si>
  <si>
    <t xml:space="preserve">- Honor </t>
  </si>
  <si>
    <t>Ballpoint snawman V1</t>
  </si>
  <si>
    <t>- Honor RK/RT</t>
  </si>
  <si>
    <t>2.1.9  Pengadaan Tanah/Persertifikatan ( Sertifikat Kantor Desa)</t>
  </si>
  <si>
    <t xml:space="preserve">- Pengadaan Sertifikat Kantor Desa </t>
  </si>
  <si>
    <t>Makan dan Minum Rapat</t>
  </si>
  <si>
    <t>Pulpen Snowman V1</t>
  </si>
  <si>
    <t>Makan dan Minum Peserta Gerak Jalan PKK</t>
  </si>
  <si>
    <t>- Belanja makan dan Minum</t>
  </si>
  <si>
    <t>PAD</t>
  </si>
  <si>
    <t>BHPD</t>
  </si>
  <si>
    <t xml:space="preserve">ADD </t>
  </si>
  <si>
    <t>2.1.15  Penyusunan Peraturan Desa</t>
  </si>
  <si>
    <t>2.1.14  Penyusunan Laporan Pertanggungjawaban Kepala Desa</t>
  </si>
  <si>
    <t>BHRD</t>
  </si>
  <si>
    <t>Balpoint Snowman V1</t>
  </si>
  <si>
    <t>Map Snelhecter Seugel</t>
  </si>
  <si>
    <t>2.2.7  Pembinaan Lembaga Ekonomi Desa (BUMDes,USP, dll)</t>
  </si>
  <si>
    <t>Honor Tim Pembentukan BUMDes</t>
  </si>
  <si>
    <t>Biaya Makan dan Minum Rapat</t>
  </si>
  <si>
    <t>Konsumsi Pembentukan BUMDes</t>
  </si>
  <si>
    <t xml:space="preserve">Honor Tim </t>
  </si>
  <si>
    <t>2.1.12  Penyusunan RKPDesa</t>
  </si>
  <si>
    <t>Map Snalshecter Seugel</t>
  </si>
  <si>
    <t xml:space="preserve">2.4 Pemberdayaan Masyarakat Desa </t>
  </si>
  <si>
    <t>Benda Perangko,Meterai &amp; Benda Pos Lainnya</t>
  </si>
  <si>
    <t>2.3  Pembinaan Kemasyarakatan Desa</t>
  </si>
  <si>
    <t>2.4 Pemberdayaan Masyarakat Desa</t>
  </si>
  <si>
    <t>Kegiatan Penyusunan Penyusuna RKP-Desa</t>
  </si>
  <si>
    <t>Kegiatan Penyusunan Laporan Pertanggungjawaban Kepala Desa</t>
  </si>
  <si>
    <t xml:space="preserve">Pengadaan Sertifikat Kantor Desa </t>
  </si>
  <si>
    <t>Kegiatan Penyusunan Peraturan Desa</t>
  </si>
  <si>
    <t>Upah Kerja  Pembangunan Gedung Serba Guna</t>
  </si>
  <si>
    <t>Belanja Modal Pembangunan Gedung Serba Guna</t>
  </si>
  <si>
    <t>Jasa Pihak Ketiga</t>
  </si>
  <si>
    <t>- Biaya Pembuatan Akte Notaris BUMDes</t>
  </si>
  <si>
    <t>Dok</t>
  </si>
  <si>
    <t>Biaya Pembuatan Akte Notaris BUMDes</t>
  </si>
  <si>
    <t>Makan &amp; Minum Rapat Pembentukan Bumdes</t>
  </si>
  <si>
    <t>Alat Tulis Kantor Pembentukan BUMDes</t>
  </si>
  <si>
    <t>Upah Kerja Pembangunan POSYANDU</t>
  </si>
  <si>
    <t>Belanja Modal Pembangunan POSYANDU</t>
  </si>
  <si>
    <t>- Belanja Modal Rabat Beton Cibollo (650 M)</t>
  </si>
  <si>
    <t>Map Snalhecter Seugel</t>
  </si>
  <si>
    <t>Lem Kertas</t>
  </si>
  <si>
    <t>Penjepit Kertas</t>
  </si>
  <si>
    <t>Tinta Print Hitam</t>
  </si>
  <si>
    <t>Botol</t>
  </si>
  <si>
    <t>Jlid</t>
  </si>
  <si>
    <t>Belanja Sewa Sarana Mobilitas</t>
  </si>
  <si>
    <t>Biaya Transport Monitoring</t>
  </si>
  <si>
    <t>Biaya Transport Pembelian Barang/Material</t>
  </si>
  <si>
    <t>Ka. Tukang</t>
  </si>
  <si>
    <t>Belanja Modal Perpipaan Cibollo (3000 M)</t>
  </si>
  <si>
    <t>2.4.13 Peningkatan Kesehatan Masyarakat/Panrita Siaga Aktif</t>
  </si>
  <si>
    <t>Honor PTPKD</t>
  </si>
  <si>
    <t>- Mesin Moleng</t>
  </si>
  <si>
    <t>Mesin Molen</t>
  </si>
  <si>
    <t>- Biaya Transport</t>
  </si>
  <si>
    <t>Biaya Makan dan Minum</t>
  </si>
  <si>
    <t>Biaya transport Peserta Gerak Jalan PKK</t>
  </si>
  <si>
    <t>2.2.1 Pembangunan/perbaikan Saluran Irigasi</t>
  </si>
  <si>
    <t>Sapayya Desa Kindang</t>
  </si>
  <si>
    <t>500 M</t>
  </si>
  <si>
    <t>Tukang Pipa</t>
  </si>
  <si>
    <t>Pipa AW 8 Inci</t>
  </si>
  <si>
    <t>Belanja Modal Saluran Irigasi Pipanisasi  Dusun Sapayya (500 M)</t>
  </si>
  <si>
    <t>Kegiatan Pembangunan/Perbaikan Irigasi</t>
  </si>
  <si>
    <t>Upah Kerja Saluran Irigasi Pipanisasi  Dusun Sapayya (500 M)</t>
  </si>
  <si>
    <t>- Tukang Pipa</t>
  </si>
  <si>
    <t>Kegiatan Peningkatan Kesehatan Masyarakat/Panrita Siaga Aktif</t>
  </si>
  <si>
    <t>Upah Pekerja</t>
  </si>
  <si>
    <t>Belanja Materai, Benda Pos Lainnya</t>
  </si>
  <si>
    <t>Biaya Transport Penyuluh</t>
  </si>
  <si>
    <t>Keramik 40/40</t>
  </si>
  <si>
    <t>Honor Imam</t>
  </si>
  <si>
    <t>- Imam Desa</t>
  </si>
  <si>
    <t>- Imam Dusun</t>
  </si>
  <si>
    <t>Imam Desa</t>
  </si>
  <si>
    <t>Imam Dusun</t>
  </si>
  <si>
    <t>Kindang,         April 2016</t>
  </si>
  <si>
    <t>AMIR JIAN</t>
  </si>
  <si>
    <t>Kindang,           April 2016</t>
  </si>
  <si>
    <t>Kindang,            April 2016</t>
  </si>
  <si>
    <t>AMIR  JIAN</t>
  </si>
  <si>
    <t>Kindang,          April 2016</t>
  </si>
  <si>
    <t>Kindang,             April 2016</t>
  </si>
  <si>
    <t>4.2 x 2.5 M</t>
  </si>
  <si>
    <t>September 2016</t>
  </si>
  <si>
    <t>Kindang,               April 2016</t>
  </si>
  <si>
    <t>Kindang,              April 2016</t>
  </si>
  <si>
    <t>Belanja Pos, Materai &amp; Benda Pos Lainnya</t>
  </si>
  <si>
    <t>650 M</t>
  </si>
  <si>
    <t>Honor Tim Pengelola  Kegiatan</t>
  </si>
  <si>
    <t>Honor Pelaksan Kegiatan</t>
  </si>
  <si>
    <t>- Mesin Alat Penggiling Padi</t>
  </si>
  <si>
    <t>ADD,SILPA &amp; PAD</t>
  </si>
  <si>
    <t>Mesin Alat Penggiling Padi</t>
  </si>
  <si>
    <t>- Tim Pengelola PBB</t>
  </si>
  <si>
    <t>Prasasti</t>
  </si>
  <si>
    <t xml:space="preserve">Makan dan Minum Peserta Gerak Jalan </t>
  </si>
  <si>
    <t>Transport Peserta Gerak Jalan (PP)</t>
  </si>
  <si>
    <t>Biaya Pelatihan Aparat</t>
  </si>
  <si>
    <t>ADD, SILPA</t>
  </si>
  <si>
    <t>Mei  2016</t>
  </si>
  <si>
    <t>Iuran Air Bersih</t>
  </si>
  <si>
    <t>LEBIH/                      BERKURANG                                                    (Rp)</t>
  </si>
  <si>
    <t>JUMLAH REALISASI (Rp)</t>
  </si>
  <si>
    <t xml:space="preserve">                         </t>
  </si>
  <si>
    <t>ANGGARAN                                                                (Rp)</t>
  </si>
  <si>
    <t>LAPORAN REALISASI PELAKSANAAN</t>
  </si>
  <si>
    <t>SEMESTER PERTAMA</t>
  </si>
  <si>
    <t>PEMERINTAH DESA KAHAYYA</t>
  </si>
  <si>
    <t>KECAMATAN KINDANG</t>
  </si>
  <si>
    <t>DESA KAHAYYA</t>
  </si>
  <si>
    <t>Pagu Dana Desa</t>
  </si>
  <si>
    <t>Tahap I</t>
  </si>
  <si>
    <t>Tahap II</t>
  </si>
  <si>
    <t>Tahap III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</si>
  <si>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</si>
  <si>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</si>
  <si>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</si>
  <si>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</si>
  <si>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</si>
  <si>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</si>
  <si>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</si>
  <si>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</si>
  <si>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</si>
  <si>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</si>
  <si>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2.1.12</t>
  </si>
  <si>
    <t>2.2.1</t>
  </si>
  <si>
    <t>2.2.2</t>
  </si>
  <si>
    <t>2.2.3</t>
  </si>
  <si>
    <t>2.3.1</t>
  </si>
  <si>
    <t>2.3.2</t>
  </si>
  <si>
    <t>2.3.3</t>
  </si>
  <si>
    <t>2.3.4</t>
  </si>
  <si>
    <t>2.3.5</t>
  </si>
  <si>
    <t>2.4.1</t>
  </si>
  <si>
    <t>2.4.2</t>
  </si>
  <si>
    <t>No.</t>
  </si>
  <si>
    <t>Uraian</t>
  </si>
  <si>
    <t>Penerimaan                                                               (Rp)</t>
  </si>
  <si>
    <t>Pengeluaran                                                                              (Rp)</t>
  </si>
  <si>
    <t>Sisa                                                              (Rp)</t>
  </si>
  <si>
    <t>Meja Kerja</t>
  </si>
  <si>
    <t>Kursi Kerja</t>
  </si>
  <si>
    <t>Camera Digital</t>
  </si>
  <si>
    <t>Belanja Pakaian Dinas</t>
  </si>
  <si>
    <t>Honor Ketua RK/RT</t>
  </si>
  <si>
    <t>Tim Pengelola PBB</t>
  </si>
  <si>
    <t>Kegiatan Pengadaan Tanah/Pensertifikatan</t>
  </si>
  <si>
    <t>Sertifikat Lokasi Kantor Desa</t>
  </si>
  <si>
    <t>Kegiatan Penyusunan RKP Desa</t>
  </si>
  <si>
    <t xml:space="preserve">Kegiatan Pembangunan/Rehab. Jalan dan Jembatan Desa </t>
  </si>
  <si>
    <t>Upah Kerja Pemeliharaan Jalan (Pemecahan Batu) 92 M3</t>
  </si>
  <si>
    <t>Sewa Alat Berat (Excapator)</t>
  </si>
  <si>
    <t>- Belanja Modal Rabat Beton Dusun Gamaccaya (460 M)</t>
  </si>
  <si>
    <t>Kegiatan Pengadaan Sarana &amp; Prasarana Air Bersih (Perpipaan)</t>
  </si>
  <si>
    <t>Kegiatan Pembinaan Lembaga Ekonomi Desa ( Pemb. BUMdes)</t>
  </si>
  <si>
    <t>Biaya Pengadaan Akte Notaris BUMDES</t>
  </si>
  <si>
    <t>Belanja Molen</t>
  </si>
  <si>
    <t>Bidang Pembinaan Kemasyarakatan  Desa</t>
  </si>
  <si>
    <t xml:space="preserve">Honorarium Imam </t>
  </si>
  <si>
    <t>Kegiatan Pendidikan,Pelatihan &amp; Penyuluhan Bagi Aparat Desa</t>
  </si>
  <si>
    <t>Disetujui Oleh</t>
  </si>
  <si>
    <t>Kepala Desa,</t>
  </si>
  <si>
    <t>Bendahara,</t>
  </si>
  <si>
    <t>ABDUL RAHMAN</t>
  </si>
  <si>
    <t>SULHATI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</si>
</sst>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(* #,##0.000_);_(* \(#,##0.000\);_(* &quot;-&quot;_);_(@_)"/>
    <numFmt numFmtId="167" formatCode="_([$Rp-421]* #,##0.00_);_([$Rp-421]* \(#,##0.00\);_([$Rp-421]* &quot;-&quot;??_);_(@_)"/>
  </numFmts>
  <fonts count="3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i/>
      <sz val="10"/>
      <color theme="1"/>
      <name val="Bookman Old Style"/>
      <family val="1"/>
    </font>
    <font>
      <sz val="14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9"/>
      <color theme="1"/>
      <name val="Bookman Old Style"/>
      <family val="1"/>
    </font>
    <font>
      <i/>
      <sz val="9"/>
      <color theme="1"/>
      <name val="Bookman Old Style"/>
      <family val="1"/>
    </font>
    <font>
      <sz val="9"/>
      <color theme="1"/>
      <name val="Calibri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sz val="13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17">
    <xf numFmtId="0" fontId="0" fillId="0" borderId="0" xfId="0"/>
    <xf numFmtId="0" fontId="0" fillId="0" borderId="0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4" xfId="0" applyFont="1" applyBorder="1"/>
    <xf numFmtId="0" fontId="3" fillId="0" borderId="17" xfId="0" applyFont="1" applyBorder="1"/>
    <xf numFmtId="0" fontId="3" fillId="0" borderId="18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6" xfId="0" applyFont="1" applyBorder="1"/>
    <xf numFmtId="0" fontId="2" fillId="0" borderId="0" xfId="0" applyFont="1" applyBorder="1"/>
    <xf numFmtId="0" fontId="2" fillId="0" borderId="27" xfId="0" applyFont="1" applyBorder="1"/>
    <xf numFmtId="0" fontId="3" fillId="0" borderId="26" xfId="0" applyFont="1" applyBorder="1"/>
    <xf numFmtId="0" fontId="3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0" fillId="0" borderId="0" xfId="0" applyAlignment="1">
      <alignment vertical="center"/>
    </xf>
    <xf numFmtId="43" fontId="0" fillId="0" borderId="0" xfId="2" applyFont="1"/>
    <xf numFmtId="0" fontId="2" fillId="0" borderId="25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/>
    <xf numFmtId="43" fontId="4" fillId="0" borderId="0" xfId="2" applyFont="1"/>
    <xf numFmtId="0" fontId="5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/>
    <xf numFmtId="0" fontId="5" fillId="0" borderId="0" xfId="0" quotePrefix="1" applyFont="1"/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/>
    <xf numFmtId="0" fontId="2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/>
    </xf>
    <xf numFmtId="41" fontId="10" fillId="0" borderId="1" xfId="0" applyNumberFormat="1" applyFont="1" applyBorder="1"/>
    <xf numFmtId="43" fontId="8" fillId="0" borderId="0" xfId="0" applyNumberFormat="1" applyFont="1"/>
    <xf numFmtId="41" fontId="8" fillId="0" borderId="1" xfId="1" applyFont="1" applyBorder="1"/>
    <xf numFmtId="0" fontId="8" fillId="0" borderId="14" xfId="0" applyFont="1" applyBorder="1"/>
    <xf numFmtId="43" fontId="8" fillId="0" borderId="0" xfId="2" applyFont="1"/>
    <xf numFmtId="41" fontId="8" fillId="0" borderId="0" xfId="0" applyNumberFormat="1" applyFont="1"/>
    <xf numFmtId="9" fontId="8" fillId="0" borderId="0" xfId="0" applyNumberFormat="1" applyFont="1"/>
    <xf numFmtId="0" fontId="8" fillId="0" borderId="45" xfId="0" quotePrefix="1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41" fontId="10" fillId="0" borderId="34" xfId="0" applyNumberFormat="1" applyFont="1" applyBorder="1" applyAlignment="1">
      <alignment vertical="center"/>
    </xf>
    <xf numFmtId="0" fontId="8" fillId="0" borderId="36" xfId="0" applyFont="1" applyBorder="1" applyAlignment="1">
      <alignment horizontal="center"/>
    </xf>
    <xf numFmtId="0" fontId="10" fillId="0" borderId="35" xfId="0" applyFont="1" applyBorder="1"/>
    <xf numFmtId="0" fontId="8" fillId="0" borderId="35" xfId="0" applyFont="1" applyBorder="1"/>
    <xf numFmtId="0" fontId="8" fillId="0" borderId="3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41" fontId="8" fillId="0" borderId="38" xfId="1" applyFont="1" applyBorder="1"/>
    <xf numFmtId="41" fontId="10" fillId="0" borderId="38" xfId="1" applyFont="1" applyBorder="1"/>
    <xf numFmtId="0" fontId="8" fillId="0" borderId="36" xfId="0" quotePrefix="1" applyFont="1" applyBorder="1" applyAlignment="1">
      <alignment horizontal="center" vertical="top"/>
    </xf>
    <xf numFmtId="0" fontId="8" fillId="0" borderId="36" xfId="0" quotePrefix="1" applyFont="1" applyBorder="1" applyAlignment="1">
      <alignment horizontal="center"/>
    </xf>
    <xf numFmtId="43" fontId="8" fillId="0" borderId="38" xfId="2" applyFont="1" applyBorder="1"/>
    <xf numFmtId="0" fontId="8" fillId="0" borderId="37" xfId="0" applyFont="1" applyBorder="1"/>
    <xf numFmtId="0" fontId="8" fillId="0" borderId="40" xfId="0" applyFont="1" applyBorder="1" applyAlignment="1">
      <alignment horizontal="center"/>
    </xf>
    <xf numFmtId="0" fontId="8" fillId="0" borderId="47" xfId="0" applyFont="1" applyBorder="1"/>
    <xf numFmtId="41" fontId="8" fillId="0" borderId="42" xfId="1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10" xfId="0" applyFont="1" applyBorder="1"/>
    <xf numFmtId="0" fontId="8" fillId="0" borderId="12" xfId="0" applyFont="1" applyBorder="1"/>
    <xf numFmtId="0" fontId="8" fillId="0" borderId="8" xfId="0" applyFont="1" applyBorder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8" fillId="0" borderId="3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1" fontId="8" fillId="0" borderId="0" xfId="1" applyFont="1" applyBorder="1"/>
    <xf numFmtId="0" fontId="8" fillId="0" borderId="9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8" fillId="0" borderId="7" xfId="0" applyFont="1" applyBorder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quotePrefix="1" applyFont="1"/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8" fillId="0" borderId="34" xfId="0" applyFont="1" applyBorder="1" applyAlignment="1">
      <alignment horizontal="center" vertical="center"/>
    </xf>
    <xf numFmtId="41" fontId="8" fillId="0" borderId="11" xfId="1" applyFont="1" applyBorder="1"/>
    <xf numFmtId="0" fontId="8" fillId="0" borderId="9" xfId="0" applyFont="1" applyBorder="1" applyAlignment="1">
      <alignment horizontal="center"/>
    </xf>
    <xf numFmtId="41" fontId="10" fillId="0" borderId="7" xfId="0" applyNumberFormat="1" applyFont="1" applyBorder="1"/>
    <xf numFmtId="0" fontId="8" fillId="0" borderId="35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41" fontId="8" fillId="0" borderId="38" xfId="1" applyFont="1" applyBorder="1" applyAlignment="1">
      <alignment vertical="center"/>
    </xf>
    <xf numFmtId="41" fontId="10" fillId="0" borderId="38" xfId="1" applyFont="1" applyBorder="1" applyAlignment="1">
      <alignment vertical="center"/>
    </xf>
    <xf numFmtId="0" fontId="8" fillId="0" borderId="35" xfId="0" quotePrefix="1" applyFont="1" applyBorder="1" applyAlignment="1">
      <alignment vertical="center"/>
    </xf>
    <xf numFmtId="0" fontId="8" fillId="0" borderId="36" xfId="0" quotePrefix="1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41" fontId="8" fillId="0" borderId="1" xfId="1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41" fontId="10" fillId="0" borderId="14" xfId="0" applyNumberFormat="1" applyFont="1" applyBorder="1"/>
    <xf numFmtId="164" fontId="8" fillId="0" borderId="0" xfId="2" applyNumberFormat="1" applyFont="1" applyAlignment="1"/>
    <xf numFmtId="164" fontId="8" fillId="0" borderId="0" xfId="2" applyNumberFormat="1" applyFont="1"/>
    <xf numFmtId="164" fontId="8" fillId="0" borderId="0" xfId="0" applyNumberFormat="1" applyFont="1"/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41" fontId="8" fillId="0" borderId="44" xfId="1" applyFont="1" applyBorder="1" applyAlignment="1">
      <alignment vertical="center"/>
    </xf>
    <xf numFmtId="0" fontId="8" fillId="0" borderId="46" xfId="0" quotePrefix="1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41" fontId="10" fillId="0" borderId="44" xfId="1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41" fontId="8" fillId="0" borderId="42" xfId="1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8" fillId="0" borderId="38" xfId="2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/>
    </xf>
    <xf numFmtId="0" fontId="10" fillId="0" borderId="36" xfId="0" quotePrefix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43" fontId="8" fillId="0" borderId="38" xfId="2" applyFont="1" applyBorder="1" applyAlignment="1">
      <alignment horizontal="center" vertical="center"/>
    </xf>
    <xf numFmtId="41" fontId="8" fillId="0" borderId="38" xfId="1" applyNumberFormat="1" applyFont="1" applyBorder="1" applyAlignment="1">
      <alignment vertical="center"/>
    </xf>
    <xf numFmtId="166" fontId="8" fillId="0" borderId="38" xfId="1" applyNumberFormat="1" applyFont="1" applyBorder="1" applyAlignment="1">
      <alignment vertical="center"/>
    </xf>
    <xf numFmtId="43" fontId="8" fillId="0" borderId="44" xfId="2" applyFont="1" applyBorder="1" applyAlignment="1">
      <alignment horizontal="center" vertical="center"/>
    </xf>
    <xf numFmtId="43" fontId="8" fillId="0" borderId="44" xfId="2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left" vertical="center"/>
    </xf>
    <xf numFmtId="0" fontId="13" fillId="0" borderId="0" xfId="0" applyFont="1"/>
    <xf numFmtId="0" fontId="13" fillId="0" borderId="0" xfId="0" applyFont="1" applyBorder="1" applyAlignment="1"/>
    <xf numFmtId="0" fontId="13" fillId="0" borderId="0" xfId="0" quotePrefix="1" applyFont="1" applyBorder="1" applyAlignment="1">
      <alignment horizontal="left"/>
    </xf>
    <xf numFmtId="0" fontId="13" fillId="0" borderId="0" xfId="0" quotePrefix="1" applyFont="1" applyBorder="1" applyAlignment="1"/>
    <xf numFmtId="0" fontId="8" fillId="0" borderId="0" xfId="0" applyFont="1" applyAlignment="1">
      <alignment horizontal="left"/>
    </xf>
    <xf numFmtId="0" fontId="8" fillId="0" borderId="39" xfId="0" applyFont="1" applyBorder="1"/>
    <xf numFmtId="0" fontId="10" fillId="0" borderId="29" xfId="0" applyFont="1" applyBorder="1" applyAlignment="1">
      <alignment horizontal="left" vertical="center"/>
    </xf>
    <xf numFmtId="0" fontId="8" fillId="0" borderId="31" xfId="0" applyFont="1" applyBorder="1" applyAlignment="1">
      <alignment vertical="center"/>
    </xf>
    <xf numFmtId="41" fontId="10" fillId="0" borderId="31" xfId="0" applyNumberFormat="1" applyFont="1" applyBorder="1" applyAlignment="1">
      <alignment vertical="center"/>
    </xf>
    <xf numFmtId="43" fontId="8" fillId="0" borderId="42" xfId="2" applyFont="1" applyBorder="1" applyAlignment="1">
      <alignment horizontal="center" vertical="center"/>
    </xf>
    <xf numFmtId="43" fontId="8" fillId="0" borderId="38" xfId="2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15" fillId="0" borderId="0" xfId="3" applyFont="1" applyAlignment="1" applyProtection="1">
      <alignment horizontal="center"/>
    </xf>
    <xf numFmtId="0" fontId="8" fillId="0" borderId="30" xfId="0" quotePrefix="1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3" xfId="0" applyFont="1" applyBorder="1"/>
    <xf numFmtId="0" fontId="8" fillId="0" borderId="44" xfId="0" applyFont="1" applyBorder="1"/>
    <xf numFmtId="41" fontId="8" fillId="0" borderId="44" xfId="1" applyFont="1" applyBorder="1"/>
    <xf numFmtId="0" fontId="8" fillId="0" borderId="29" xfId="0" quotePrefix="1" applyFont="1" applyBorder="1" applyAlignment="1">
      <alignment horizontal="left" vertical="center"/>
    </xf>
    <xf numFmtId="164" fontId="8" fillId="0" borderId="31" xfId="2" applyNumberFormat="1" applyFont="1" applyBorder="1" applyAlignment="1">
      <alignment vertical="center"/>
    </xf>
    <xf numFmtId="164" fontId="8" fillId="0" borderId="44" xfId="2" applyNumberFormat="1" applyFont="1" applyBorder="1"/>
    <xf numFmtId="164" fontId="8" fillId="0" borderId="38" xfId="2" applyNumberFormat="1" applyFont="1" applyBorder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6" xfId="0" quotePrefix="1" applyFont="1" applyBorder="1" applyAlignment="1">
      <alignment horizontal="center"/>
    </xf>
    <xf numFmtId="0" fontId="8" fillId="0" borderId="39" xfId="0" quotePrefix="1" applyFont="1" applyBorder="1"/>
    <xf numFmtId="41" fontId="10" fillId="0" borderId="44" xfId="1" applyFont="1" applyBorder="1"/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left" vertical="center"/>
    </xf>
    <xf numFmtId="0" fontId="16" fillId="0" borderId="0" xfId="0" applyFont="1"/>
    <xf numFmtId="0" fontId="17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9" fillId="0" borderId="0" xfId="0" applyFont="1"/>
    <xf numFmtId="0" fontId="22" fillId="0" borderId="0" xfId="0" applyFont="1"/>
    <xf numFmtId="43" fontId="16" fillId="0" borderId="0" xfId="2" applyFont="1"/>
    <xf numFmtId="0" fontId="16" fillId="0" borderId="13" xfId="0" applyFont="1" applyBorder="1"/>
    <xf numFmtId="0" fontId="16" fillId="0" borderId="0" xfId="0" applyFont="1" applyBorder="1"/>
    <xf numFmtId="0" fontId="18" fillId="0" borderId="0" xfId="0" applyFont="1"/>
    <xf numFmtId="0" fontId="18" fillId="0" borderId="0" xfId="0" applyFont="1" applyBorder="1" applyAlignment="1">
      <alignment horizontal="center"/>
    </xf>
    <xf numFmtId="0" fontId="21" fillId="0" borderId="0" xfId="0" applyFont="1"/>
    <xf numFmtId="0" fontId="21" fillId="0" borderId="0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5" xfId="0" quotePrefix="1" applyFont="1" applyBorder="1" applyAlignment="1">
      <alignment horizontal="center" vertical="center"/>
    </xf>
    <xf numFmtId="0" fontId="19" fillId="0" borderId="35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41" fontId="23" fillId="0" borderId="38" xfId="0" applyNumberFormat="1" applyFont="1" applyBorder="1" applyAlignment="1">
      <alignment vertical="center"/>
    </xf>
    <xf numFmtId="0" fontId="19" fillId="0" borderId="3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41" fontId="19" fillId="0" borderId="38" xfId="1" applyFont="1" applyBorder="1" applyAlignment="1">
      <alignment vertical="center"/>
    </xf>
    <xf numFmtId="0" fontId="23" fillId="0" borderId="0" xfId="0" applyFont="1" applyBorder="1" applyAlignment="1">
      <alignment horizontal="center"/>
    </xf>
    <xf numFmtId="0" fontId="23" fillId="0" borderId="35" xfId="0" quotePrefix="1" applyFont="1" applyBorder="1" applyAlignment="1">
      <alignment horizontal="center" vertical="center"/>
    </xf>
    <xf numFmtId="41" fontId="19" fillId="0" borderId="38" xfId="0" applyNumberFormat="1" applyFont="1" applyBorder="1" applyAlignment="1">
      <alignment vertical="center"/>
    </xf>
    <xf numFmtId="43" fontId="19" fillId="0" borderId="0" xfId="2" applyFont="1"/>
    <xf numFmtId="0" fontId="19" fillId="0" borderId="4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7" xfId="0" applyFont="1" applyBorder="1" applyAlignment="1">
      <alignment vertical="center"/>
    </xf>
    <xf numFmtId="0" fontId="19" fillId="0" borderId="41" xfId="0" applyFont="1" applyBorder="1" applyAlignment="1">
      <alignment horizontal="center" vertical="center"/>
    </xf>
    <xf numFmtId="41" fontId="19" fillId="0" borderId="42" xfId="1" applyFont="1" applyBorder="1" applyAlignment="1">
      <alignment vertical="center"/>
    </xf>
    <xf numFmtId="41" fontId="19" fillId="0" borderId="42" xfId="0" applyNumberFormat="1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41" fontId="19" fillId="0" borderId="6" xfId="1" applyFont="1" applyBorder="1" applyAlignment="1">
      <alignment vertical="center"/>
    </xf>
    <xf numFmtId="41" fontId="23" fillId="0" borderId="6" xfId="0" applyNumberFormat="1" applyFont="1" applyBorder="1" applyAlignment="1">
      <alignment vertical="center"/>
    </xf>
    <xf numFmtId="43" fontId="19" fillId="0" borderId="0" xfId="0" applyNumberFormat="1" applyFont="1"/>
    <xf numFmtId="0" fontId="19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8" xfId="0" applyFont="1" applyBorder="1"/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applyFont="1" applyBorder="1" applyAlignment="1"/>
    <xf numFmtId="0" fontId="19" fillId="0" borderId="14" xfId="0" applyFont="1" applyBorder="1" applyAlignment="1"/>
    <xf numFmtId="0" fontId="19" fillId="0" borderId="13" xfId="0" quotePrefix="1" applyFont="1" applyBorder="1"/>
    <xf numFmtId="0" fontId="19" fillId="0" borderId="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24" fillId="0" borderId="13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43" fontId="22" fillId="0" borderId="0" xfId="2" applyFont="1"/>
    <xf numFmtId="0" fontId="19" fillId="0" borderId="29" xfId="0" applyFont="1" applyBorder="1"/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41" fontId="23" fillId="0" borderId="34" xfId="0" applyNumberFormat="1" applyFont="1" applyBorder="1" applyAlignment="1">
      <alignment vertical="center"/>
    </xf>
    <xf numFmtId="0" fontId="19" fillId="0" borderId="35" xfId="0" applyFont="1" applyBorder="1"/>
    <xf numFmtId="0" fontId="23" fillId="0" borderId="35" xfId="0" applyFont="1" applyBorder="1" applyAlignment="1">
      <alignment horizontal="left" vertical="center"/>
    </xf>
    <xf numFmtId="41" fontId="19" fillId="0" borderId="0" xfId="0" applyNumberFormat="1" applyFont="1"/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41" fontId="23" fillId="0" borderId="38" xfId="0" applyNumberFormat="1" applyFont="1" applyBorder="1" applyAlignment="1">
      <alignment horizontal="center" vertical="center"/>
    </xf>
    <xf numFmtId="0" fontId="19" fillId="0" borderId="35" xfId="0" quotePrefix="1" applyFont="1" applyBorder="1" applyAlignment="1">
      <alignment horizontal="left" vertical="center"/>
    </xf>
    <xf numFmtId="164" fontId="19" fillId="0" borderId="38" xfId="2" applyNumberFormat="1" applyFont="1" applyBorder="1" applyAlignment="1">
      <alignment horizontal="center" vertical="center"/>
    </xf>
    <xf numFmtId="0" fontId="23" fillId="0" borderId="35" xfId="0" applyFont="1" applyBorder="1"/>
    <xf numFmtId="0" fontId="23" fillId="0" borderId="36" xfId="0" applyFont="1" applyBorder="1" applyAlignment="1">
      <alignment horizontal="center" vertical="center"/>
    </xf>
    <xf numFmtId="41" fontId="23" fillId="0" borderId="38" xfId="1" applyFont="1" applyBorder="1" applyAlignment="1">
      <alignment vertical="center"/>
    </xf>
    <xf numFmtId="0" fontId="19" fillId="0" borderId="35" xfId="0" quotePrefix="1" applyFont="1" applyBorder="1" applyAlignment="1">
      <alignment vertical="center"/>
    </xf>
    <xf numFmtId="0" fontId="23" fillId="0" borderId="35" xfId="0" quotePrefix="1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9" xfId="0" applyFont="1" applyBorder="1"/>
    <xf numFmtId="0" fontId="19" fillId="0" borderId="46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3" fillId="0" borderId="39" xfId="0" applyFont="1" applyBorder="1" applyAlignment="1">
      <alignment horizontal="left" vertical="center"/>
    </xf>
    <xf numFmtId="0" fontId="19" fillId="0" borderId="39" xfId="0" applyFont="1" applyBorder="1" applyAlignment="1">
      <alignment vertical="center"/>
    </xf>
    <xf numFmtId="0" fontId="19" fillId="0" borderId="3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41" fontId="19" fillId="0" borderId="44" xfId="1" applyFont="1" applyBorder="1" applyAlignment="1">
      <alignment vertical="center"/>
    </xf>
    <xf numFmtId="41" fontId="19" fillId="0" borderId="44" xfId="0" applyNumberFormat="1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1" fontId="19" fillId="0" borderId="15" xfId="1" applyFont="1" applyBorder="1" applyAlignment="1">
      <alignment vertical="center"/>
    </xf>
    <xf numFmtId="41" fontId="19" fillId="0" borderId="15" xfId="0" applyNumberFormat="1" applyFont="1" applyBorder="1" applyAlignment="1">
      <alignment vertical="center"/>
    </xf>
    <xf numFmtId="0" fontId="23" fillId="0" borderId="29" xfId="0" quotePrefix="1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9" fillId="0" borderId="31" xfId="0" applyFont="1" applyBorder="1" applyAlignment="1">
      <alignment vertical="center"/>
    </xf>
    <xf numFmtId="41" fontId="23" fillId="0" borderId="3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41" fontId="19" fillId="0" borderId="1" xfId="1" applyFont="1" applyBorder="1" applyAlignment="1">
      <alignment vertical="center"/>
    </xf>
    <xf numFmtId="41" fontId="23" fillId="0" borderId="1" xfId="0" applyNumberFormat="1" applyFont="1" applyBorder="1" applyAlignment="1">
      <alignment vertical="center"/>
    </xf>
    <xf numFmtId="0" fontId="19" fillId="0" borderId="13" xfId="0" applyFont="1" applyBorder="1" applyAlignment="1">
      <alignment horizontal="center"/>
    </xf>
    <xf numFmtId="41" fontId="19" fillId="0" borderId="0" xfId="1" applyFont="1" applyBorder="1"/>
    <xf numFmtId="41" fontId="23" fillId="0" borderId="14" xfId="0" applyNumberFormat="1" applyFont="1" applyBorder="1"/>
    <xf numFmtId="0" fontId="19" fillId="0" borderId="11" xfId="0" applyFont="1" applyBorder="1"/>
    <xf numFmtId="0" fontId="19" fillId="0" borderId="11" xfId="0" applyFont="1" applyBorder="1" applyAlignment="1">
      <alignment horizontal="center" vertical="center"/>
    </xf>
    <xf numFmtId="0" fontId="19" fillId="0" borderId="11" xfId="0" quotePrefix="1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41" fontId="19" fillId="0" borderId="11" xfId="1" applyFont="1" applyBorder="1" applyAlignment="1">
      <alignment vertical="center"/>
    </xf>
    <xf numFmtId="41" fontId="19" fillId="0" borderId="11" xfId="0" applyNumberFormat="1" applyFont="1" applyBorder="1" applyAlignment="1">
      <alignment vertical="center"/>
    </xf>
    <xf numFmtId="0" fontId="19" fillId="0" borderId="0" xfId="0" quotePrefix="1" applyFont="1" applyBorder="1" applyAlignment="1">
      <alignment vertical="center"/>
    </xf>
    <xf numFmtId="41" fontId="19" fillId="0" borderId="0" xfId="1" applyFont="1" applyBorder="1" applyAlignment="1">
      <alignment vertical="center"/>
    </xf>
    <xf numFmtId="41" fontId="19" fillId="0" borderId="0" xfId="0" applyNumberFormat="1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41" fontId="19" fillId="0" borderId="12" xfId="1" applyFont="1" applyBorder="1" applyAlignment="1">
      <alignment vertical="center"/>
    </xf>
    <xf numFmtId="41" fontId="19" fillId="0" borderId="12" xfId="0" applyNumberFormat="1" applyFont="1" applyBorder="1" applyAlignment="1">
      <alignment vertical="center"/>
    </xf>
    <xf numFmtId="0" fontId="19" fillId="0" borderId="9" xfId="0" applyFont="1" applyBorder="1"/>
    <xf numFmtId="0" fontId="19" fillId="0" borderId="0" xfId="0" quotePrefix="1" applyFont="1" applyBorder="1"/>
    <xf numFmtId="0" fontId="24" fillId="0" borderId="0" xfId="0" applyFont="1" applyBorder="1"/>
    <xf numFmtId="0" fontId="22" fillId="0" borderId="13" xfId="0" applyFont="1" applyBorder="1"/>
    <xf numFmtId="0" fontId="22" fillId="0" borderId="0" xfId="0" applyFont="1" applyBorder="1"/>
    <xf numFmtId="0" fontId="19" fillId="0" borderId="30" xfId="0" applyFont="1" applyBorder="1"/>
    <xf numFmtId="0" fontId="19" fillId="0" borderId="36" xfId="0" applyFont="1" applyBorder="1"/>
    <xf numFmtId="0" fontId="23" fillId="0" borderId="36" xfId="0" applyFont="1" applyBorder="1"/>
    <xf numFmtId="0" fontId="19" fillId="0" borderId="40" xfId="0" applyFont="1" applyBorder="1"/>
    <xf numFmtId="0" fontId="19" fillId="0" borderId="47" xfId="0" applyFont="1" applyBorder="1"/>
    <xf numFmtId="0" fontId="19" fillId="0" borderId="47" xfId="0" quotePrefix="1" applyFont="1" applyBorder="1" applyAlignment="1">
      <alignment vertical="center"/>
    </xf>
    <xf numFmtId="0" fontId="23" fillId="0" borderId="32" xfId="0" applyFont="1" applyBorder="1" applyAlignment="1">
      <alignment horizontal="left" vertical="center"/>
    </xf>
    <xf numFmtId="0" fontId="19" fillId="0" borderId="32" xfId="0" applyFont="1" applyBorder="1" applyAlignment="1">
      <alignment vertical="center"/>
    </xf>
    <xf numFmtId="0" fontId="19" fillId="0" borderId="46" xfId="0" applyFont="1" applyBorder="1"/>
    <xf numFmtId="0" fontId="25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23" fillId="0" borderId="45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/>
    <xf numFmtId="0" fontId="22" fillId="0" borderId="14" xfId="0" applyFont="1" applyBorder="1" applyAlignment="1">
      <alignment horizont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3" xfId="0" quotePrefix="1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6" fillId="0" borderId="13" xfId="0" applyFont="1" applyBorder="1"/>
    <xf numFmtId="0" fontId="26" fillId="0" borderId="0" xfId="0" applyFont="1" applyBorder="1" applyAlignment="1"/>
    <xf numFmtId="0" fontId="26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19" fillId="0" borderId="45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23" fillId="0" borderId="45" xfId="0" applyFont="1" applyBorder="1" applyAlignment="1"/>
    <xf numFmtId="0" fontId="23" fillId="0" borderId="32" xfId="0" applyFont="1" applyBorder="1" applyAlignment="1"/>
    <xf numFmtId="0" fontId="19" fillId="0" borderId="32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19" fillId="0" borderId="34" xfId="0" applyFont="1" applyBorder="1"/>
    <xf numFmtId="41" fontId="23" fillId="0" borderId="34" xfId="0" applyNumberFormat="1" applyFont="1" applyBorder="1"/>
    <xf numFmtId="0" fontId="19" fillId="0" borderId="36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23" fillId="0" borderId="35" xfId="0" quotePrefix="1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37" xfId="0" applyFont="1" applyBorder="1" applyAlignment="1">
      <alignment horizontal="left"/>
    </xf>
    <xf numFmtId="0" fontId="19" fillId="0" borderId="38" xfId="0" applyFont="1" applyBorder="1"/>
    <xf numFmtId="41" fontId="23" fillId="0" borderId="38" xfId="0" applyNumberFormat="1" applyFont="1" applyBorder="1"/>
    <xf numFmtId="0" fontId="19" fillId="0" borderId="35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41" fontId="19" fillId="0" borderId="38" xfId="1" applyFont="1" applyBorder="1"/>
    <xf numFmtId="41" fontId="19" fillId="0" borderId="38" xfId="0" applyNumberFormat="1" applyFont="1" applyBorder="1"/>
    <xf numFmtId="0" fontId="19" fillId="0" borderId="46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41" fontId="19" fillId="0" borderId="44" xfId="1" applyFont="1" applyBorder="1"/>
    <xf numFmtId="41" fontId="19" fillId="0" borderId="44" xfId="0" applyNumberFormat="1" applyFont="1" applyBorder="1"/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41" fontId="19" fillId="0" borderId="1" xfId="1" applyFont="1" applyBorder="1"/>
    <xf numFmtId="41" fontId="23" fillId="0" borderId="1" xfId="0" applyNumberFormat="1" applyFont="1" applyBorder="1"/>
    <xf numFmtId="0" fontId="22" fillId="0" borderId="0" xfId="0" applyFont="1" applyBorder="1" applyAlignment="1"/>
    <xf numFmtId="0" fontId="21" fillId="0" borderId="13" xfId="0" applyFont="1" applyBorder="1" applyAlignment="1">
      <alignment horizontal="center"/>
    </xf>
    <xf numFmtId="0" fontId="19" fillId="0" borderId="45" xfId="0" quotePrefix="1" applyFont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41" fontId="23" fillId="0" borderId="38" xfId="1" applyFont="1" applyBorder="1"/>
    <xf numFmtId="0" fontId="19" fillId="0" borderId="36" xfId="0" quotePrefix="1" applyFont="1" applyBorder="1" applyAlignment="1">
      <alignment horizontal="center" vertical="top"/>
    </xf>
    <xf numFmtId="0" fontId="23" fillId="0" borderId="35" xfId="0" applyFont="1" applyBorder="1" applyAlignment="1">
      <alignment horizontal="left" vertical="justify"/>
    </xf>
    <xf numFmtId="0" fontId="19" fillId="0" borderId="40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41" fontId="19" fillId="0" borderId="42" xfId="1" applyFont="1" applyBorder="1"/>
    <xf numFmtId="0" fontId="19" fillId="0" borderId="1" xfId="0" applyFont="1" applyBorder="1"/>
    <xf numFmtId="0" fontId="19" fillId="0" borderId="35" xfId="0" quotePrefix="1" applyFont="1" applyBorder="1"/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38" xfId="0" applyFont="1" applyBorder="1" applyAlignment="1">
      <alignment horizontal="center" vertical="center"/>
    </xf>
    <xf numFmtId="0" fontId="19" fillId="0" borderId="36" xfId="0" quotePrefix="1" applyFont="1" applyBorder="1" applyAlignment="1">
      <alignment horizontal="center" vertical="center"/>
    </xf>
    <xf numFmtId="0" fontId="23" fillId="0" borderId="36" xfId="0" quotePrefix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41" fontId="19" fillId="0" borderId="11" xfId="1" applyFont="1" applyBorder="1"/>
    <xf numFmtId="41" fontId="23" fillId="0" borderId="7" xfId="0" applyNumberFormat="1" applyFont="1" applyBorder="1"/>
    <xf numFmtId="0" fontId="23" fillId="0" borderId="0" xfId="0" applyFont="1" applyBorder="1" applyAlignment="1">
      <alignment horizontal="left"/>
    </xf>
    <xf numFmtId="0" fontId="21" fillId="0" borderId="14" xfId="0" applyFont="1" applyBorder="1" applyAlignment="1">
      <alignment horizontal="center"/>
    </xf>
    <xf numFmtId="0" fontId="26" fillId="0" borderId="13" xfId="0" applyFont="1" applyBorder="1" applyAlignment="1"/>
    <xf numFmtId="0" fontId="19" fillId="0" borderId="36" xfId="0" quotePrefix="1" applyFont="1" applyBorder="1" applyAlignment="1">
      <alignment horizontal="center"/>
    </xf>
    <xf numFmtId="43" fontId="19" fillId="0" borderId="38" xfId="2" applyFont="1" applyBorder="1"/>
    <xf numFmtId="0" fontId="19" fillId="0" borderId="37" xfId="0" applyFont="1" applyBorder="1"/>
    <xf numFmtId="0" fontId="19" fillId="0" borderId="41" xfId="0" applyFont="1" applyBorder="1"/>
    <xf numFmtId="0" fontId="19" fillId="0" borderId="42" xfId="0" applyFont="1" applyBorder="1"/>
    <xf numFmtId="0" fontId="19" fillId="0" borderId="43" xfId="0" applyFont="1" applyBorder="1"/>
    <xf numFmtId="43" fontId="19" fillId="0" borderId="38" xfId="2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164" fontId="19" fillId="0" borderId="38" xfId="2" applyNumberFormat="1" applyFont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3" fillId="0" borderId="32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164" fontId="19" fillId="0" borderId="42" xfId="2" applyNumberFormat="1" applyFont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quotePrefix="1" applyFont="1"/>
    <xf numFmtId="0" fontId="23" fillId="0" borderId="1" xfId="0" applyFont="1" applyBorder="1" applyAlignment="1">
      <alignment horizontal="center"/>
    </xf>
    <xf numFmtId="164" fontId="19" fillId="0" borderId="0" xfId="2" applyNumberFormat="1" applyFont="1"/>
    <xf numFmtId="164" fontId="19" fillId="0" borderId="0" xfId="0" applyNumberFormat="1" applyFont="1"/>
    <xf numFmtId="0" fontId="19" fillId="0" borderId="46" xfId="0" quotePrefix="1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41" fontId="23" fillId="0" borderId="44" xfId="1" applyFont="1" applyBorder="1" applyAlignment="1">
      <alignment vertical="center"/>
    </xf>
    <xf numFmtId="43" fontId="19" fillId="0" borderId="44" xfId="2" applyFont="1" applyBorder="1" applyAlignment="1">
      <alignment horizontal="center" vertical="center"/>
    </xf>
    <xf numFmtId="43" fontId="19" fillId="0" borderId="44" xfId="2" applyNumberFormat="1" applyFont="1" applyBorder="1" applyAlignment="1">
      <alignment horizontal="center" vertical="center"/>
    </xf>
    <xf numFmtId="164" fontId="19" fillId="0" borderId="0" xfId="2" applyNumberFormat="1" applyFont="1" applyBorder="1" applyAlignment="1"/>
    <xf numFmtId="1" fontId="19" fillId="0" borderId="38" xfId="0" applyNumberFormat="1" applyFont="1" applyBorder="1" applyAlignment="1">
      <alignment horizontal="center" vertical="center"/>
    </xf>
    <xf numFmtId="164" fontId="19" fillId="0" borderId="44" xfId="2" applyNumberFormat="1" applyFont="1" applyBorder="1" applyAlignment="1">
      <alignment horizontal="center" vertical="center"/>
    </xf>
    <xf numFmtId="43" fontId="19" fillId="0" borderId="38" xfId="2" applyFont="1" applyBorder="1" applyAlignment="1">
      <alignment horizontal="center" vertical="center"/>
    </xf>
    <xf numFmtId="41" fontId="19" fillId="0" borderId="38" xfId="1" applyNumberFormat="1" applyFont="1" applyBorder="1" applyAlignment="1">
      <alignment vertical="center"/>
    </xf>
    <xf numFmtId="43" fontId="19" fillId="0" borderId="15" xfId="2" applyFont="1" applyBorder="1" applyAlignment="1">
      <alignment horizontal="center" vertical="center"/>
    </xf>
    <xf numFmtId="0" fontId="18" fillId="0" borderId="9" xfId="0" applyFont="1" applyBorder="1"/>
    <xf numFmtId="0" fontId="18" fillId="0" borderId="11" xfId="0" applyFont="1" applyBorder="1"/>
    <xf numFmtId="0" fontId="18" fillId="0" borderId="13" xfId="0" applyFont="1" applyBorder="1"/>
    <xf numFmtId="0" fontId="18" fillId="0" borderId="0" xfId="0" applyFont="1" applyBorder="1"/>
    <xf numFmtId="0" fontId="21" fillId="0" borderId="13" xfId="0" applyFont="1" applyBorder="1"/>
    <xf numFmtId="0" fontId="21" fillId="0" borderId="0" xfId="0" applyFont="1" applyBorder="1"/>
    <xf numFmtId="0" fontId="23" fillId="0" borderId="11" xfId="0" applyFont="1" applyBorder="1" applyAlignment="1">
      <alignment horizontal="center" vertical="center"/>
    </xf>
    <xf numFmtId="41" fontId="23" fillId="0" borderId="11" xfId="0" applyNumberFormat="1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41" fontId="23" fillId="0" borderId="0" xfId="0" applyNumberFormat="1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41" fontId="23" fillId="0" borderId="12" xfId="0" applyNumberFormat="1" applyFont="1" applyBorder="1" applyAlignment="1">
      <alignment vertical="center"/>
    </xf>
    <xf numFmtId="0" fontId="26" fillId="0" borderId="0" xfId="0" applyFont="1" applyAlignment="1"/>
    <xf numFmtId="0" fontId="19" fillId="0" borderId="48" xfId="0" applyFont="1" applyBorder="1" applyAlignment="1">
      <alignment horizontal="center" vertical="center"/>
    </xf>
    <xf numFmtId="0" fontId="19" fillId="0" borderId="30" xfId="0" quotePrefix="1" applyFont="1" applyBorder="1" applyAlignment="1">
      <alignment horizontal="center" vertical="center"/>
    </xf>
    <xf numFmtId="0" fontId="19" fillId="0" borderId="29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29" xfId="0" quotePrefix="1" applyFont="1" applyBorder="1" applyAlignment="1">
      <alignment horizontal="left" vertical="center"/>
    </xf>
    <xf numFmtId="164" fontId="19" fillId="0" borderId="31" xfId="2" applyNumberFormat="1" applyFont="1" applyBorder="1" applyAlignment="1">
      <alignment vertical="center"/>
    </xf>
    <xf numFmtId="164" fontId="19" fillId="0" borderId="38" xfId="2" applyNumberFormat="1" applyFont="1" applyBorder="1"/>
    <xf numFmtId="164" fontId="19" fillId="0" borderId="44" xfId="2" applyNumberFormat="1" applyFont="1" applyBorder="1"/>
    <xf numFmtId="0" fontId="19" fillId="0" borderId="46" xfId="0" quotePrefix="1" applyFont="1" applyBorder="1" applyAlignment="1">
      <alignment horizontal="center"/>
    </xf>
    <xf numFmtId="41" fontId="23" fillId="0" borderId="44" xfId="1" applyFont="1" applyBorder="1"/>
    <xf numFmtId="0" fontId="19" fillId="0" borderId="39" xfId="0" quotePrefix="1" applyFont="1" applyBorder="1"/>
    <xf numFmtId="0" fontId="19" fillId="0" borderId="44" xfId="0" applyFont="1" applyBorder="1"/>
    <xf numFmtId="166" fontId="19" fillId="0" borderId="38" xfId="1" applyNumberFormat="1" applyFont="1" applyBorder="1" applyAlignment="1">
      <alignment vertical="center"/>
    </xf>
    <xf numFmtId="41" fontId="23" fillId="0" borderId="11" xfId="0" applyNumberFormat="1" applyFont="1" applyBorder="1"/>
    <xf numFmtId="41" fontId="23" fillId="0" borderId="0" xfId="0" applyNumberFormat="1" applyFont="1" applyBorder="1"/>
    <xf numFmtId="0" fontId="19" fillId="0" borderId="39" xfId="0" applyFont="1" applyBorder="1" applyAlignment="1">
      <alignment horizontal="left" vertical="center"/>
    </xf>
    <xf numFmtId="0" fontId="19" fillId="0" borderId="13" xfId="0" quotePrefix="1" applyFont="1" applyBorder="1" applyAlignment="1">
      <alignment horizontal="center" vertical="center"/>
    </xf>
    <xf numFmtId="0" fontId="19" fillId="0" borderId="40" xfId="0" quotePrefix="1" applyFont="1" applyBorder="1" applyAlignment="1">
      <alignment horizontal="center" vertical="center"/>
    </xf>
    <xf numFmtId="0" fontId="19" fillId="0" borderId="47" xfId="0" applyFont="1" applyBorder="1" applyAlignment="1">
      <alignment horizontal="left" vertical="center"/>
    </xf>
    <xf numFmtId="43" fontId="19" fillId="0" borderId="42" xfId="2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43" fontId="19" fillId="0" borderId="31" xfId="2" applyFont="1" applyBorder="1" applyAlignment="1">
      <alignment horizontal="center" vertical="center"/>
    </xf>
    <xf numFmtId="41" fontId="19" fillId="0" borderId="31" xfId="1" applyFont="1" applyBorder="1" applyAlignment="1">
      <alignment vertical="center"/>
    </xf>
    <xf numFmtId="43" fontId="19" fillId="0" borderId="11" xfId="2" applyFont="1" applyBorder="1" applyAlignment="1">
      <alignment horizontal="center" vertical="center"/>
    </xf>
    <xf numFmtId="43" fontId="19" fillId="0" borderId="0" xfId="2" applyFont="1" applyBorder="1" applyAlignment="1">
      <alignment horizontal="center" vertical="center"/>
    </xf>
    <xf numFmtId="43" fontId="19" fillId="0" borderId="12" xfId="2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19" fillId="0" borderId="0" xfId="0" applyNumberFormat="1" applyFont="1" applyAlignment="1">
      <alignment vertical="center"/>
    </xf>
    <xf numFmtId="0" fontId="23" fillId="0" borderId="35" xfId="0" quotePrefix="1" applyFont="1" applyBorder="1" applyAlignment="1">
      <alignment vertical="center"/>
    </xf>
    <xf numFmtId="43" fontId="19" fillId="0" borderId="42" xfId="2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43" fontId="23" fillId="0" borderId="1" xfId="2" applyFont="1" applyBorder="1" applyAlignment="1">
      <alignment vertical="center"/>
    </xf>
    <xf numFmtId="41" fontId="23" fillId="0" borderId="1" xfId="1" applyFont="1" applyBorder="1" applyAlignment="1">
      <alignment vertical="center"/>
    </xf>
    <xf numFmtId="0" fontId="23" fillId="0" borderId="11" xfId="0" applyFont="1" applyBorder="1" applyAlignment="1">
      <alignment horizontal="center"/>
    </xf>
    <xf numFmtId="14" fontId="22" fillId="0" borderId="0" xfId="0" applyNumberFormat="1" applyFont="1" applyBorder="1" applyAlignment="1">
      <alignment horizontal="left"/>
    </xf>
    <xf numFmtId="0" fontId="23" fillId="0" borderId="39" xfId="0" applyFont="1" applyBorder="1"/>
    <xf numFmtId="164" fontId="19" fillId="0" borderId="15" xfId="2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0" xfId="0" quotePrefix="1" applyFont="1" applyAlignment="1">
      <alignment horizontal="left"/>
    </xf>
    <xf numFmtId="0" fontId="23" fillId="0" borderId="2" xfId="0" applyFont="1" applyBorder="1" applyAlignment="1"/>
    <xf numFmtId="0" fontId="23" fillId="0" borderId="3" xfId="0" applyFont="1" applyBorder="1" applyAlignment="1"/>
    <xf numFmtId="0" fontId="23" fillId="0" borderId="4" xfId="0" applyFont="1" applyBorder="1" applyAlignment="1"/>
    <xf numFmtId="9" fontId="19" fillId="0" borderId="0" xfId="0" applyNumberFormat="1" applyFont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41" fontId="23" fillId="2" borderId="1" xfId="1" applyFont="1" applyFill="1" applyBorder="1" applyAlignment="1">
      <alignment vertical="center"/>
    </xf>
    <xf numFmtId="41" fontId="19" fillId="2" borderId="1" xfId="1" applyFont="1" applyFill="1" applyBorder="1"/>
    <xf numFmtId="41" fontId="19" fillId="2" borderId="0" xfId="1" applyFont="1" applyFill="1" applyBorder="1"/>
    <xf numFmtId="0" fontId="19" fillId="0" borderId="2" xfId="0" quotePrefix="1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41" fontId="19" fillId="2" borderId="1" xfId="1" quotePrefix="1" applyFont="1" applyFill="1" applyBorder="1" applyAlignment="1">
      <alignment horizontal="center"/>
    </xf>
    <xf numFmtId="0" fontId="19" fillId="0" borderId="4" xfId="0" applyFont="1" applyBorder="1"/>
    <xf numFmtId="0" fontId="19" fillId="0" borderId="2" xfId="0" applyFont="1" applyBorder="1" applyAlignment="1"/>
    <xf numFmtId="0" fontId="19" fillId="0" borderId="3" xfId="0" applyFont="1" applyBorder="1" applyAlignment="1"/>
    <xf numFmtId="41" fontId="23" fillId="2" borderId="1" xfId="1" applyFont="1" applyFill="1" applyBorder="1"/>
    <xf numFmtId="41" fontId="23" fillId="0" borderId="1" xfId="0" applyNumberFormat="1" applyFont="1" applyBorder="1" applyAlignment="1">
      <alignment horizontal="center"/>
    </xf>
    <xf numFmtId="41" fontId="23" fillId="2" borderId="1" xfId="1" applyNumberFormat="1" applyFont="1" applyFill="1" applyBorder="1"/>
    <xf numFmtId="41" fontId="23" fillId="2" borderId="1" xfId="1" applyFont="1" applyFill="1" applyBorder="1" applyAlignment="1">
      <alignment horizontal="center"/>
    </xf>
    <xf numFmtId="165" fontId="23" fillId="2" borderId="0" xfId="1" applyNumberFormat="1" applyFont="1" applyFill="1" applyBorder="1" applyAlignment="1">
      <alignment horizontal="center"/>
    </xf>
    <xf numFmtId="0" fontId="19" fillId="0" borderId="2" xfId="0" quotePrefix="1" applyFont="1" applyBorder="1" applyAlignment="1">
      <alignment horizontal="center"/>
    </xf>
    <xf numFmtId="41" fontId="23" fillId="2" borderId="1" xfId="0" applyNumberFormat="1" applyFont="1" applyFill="1" applyBorder="1" applyAlignment="1">
      <alignment horizontal="center"/>
    </xf>
    <xf numFmtId="165" fontId="19" fillId="0" borderId="0" xfId="0" applyNumberFormat="1" applyFont="1"/>
    <xf numFmtId="0" fontId="23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41" fontId="19" fillId="2" borderId="1" xfId="1" applyFont="1" applyFill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41" fontId="23" fillId="2" borderId="1" xfId="0" quotePrefix="1" applyNumberFormat="1" applyFont="1" applyFill="1" applyBorder="1" applyAlignment="1">
      <alignment horizontal="center"/>
    </xf>
    <xf numFmtId="0" fontId="19" fillId="0" borderId="3" xfId="0" quotePrefix="1" applyFont="1" applyBorder="1" applyAlignment="1">
      <alignment horizontal="left"/>
    </xf>
    <xf numFmtId="0" fontId="19" fillId="0" borderId="3" xfId="0" applyFont="1" applyBorder="1"/>
    <xf numFmtId="0" fontId="19" fillId="0" borderId="3" xfId="0" quotePrefix="1" applyFont="1" applyBorder="1" applyAlignment="1"/>
    <xf numFmtId="41" fontId="19" fillId="2" borderId="1" xfId="1" applyNumberFormat="1" applyFont="1" applyFill="1" applyBorder="1" applyAlignment="1">
      <alignment horizontal="center"/>
    </xf>
    <xf numFmtId="41" fontId="19" fillId="2" borderId="1" xfId="2" applyNumberFormat="1" applyFont="1" applyFill="1" applyBorder="1" applyAlignment="1">
      <alignment horizontal="center"/>
    </xf>
    <xf numFmtId="0" fontId="23" fillId="0" borderId="2" xfId="0" quotePrefix="1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4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9" fillId="0" borderId="3" xfId="0" quotePrefix="1" applyFont="1" applyBorder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19" fillId="0" borderId="3" xfId="0" quotePrefix="1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0" fontId="19" fillId="0" borderId="3" xfId="0" quotePrefix="1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43" fontId="19" fillId="0" borderId="0" xfId="2" applyFont="1" applyAlignment="1">
      <alignment vertical="center"/>
    </xf>
    <xf numFmtId="43" fontId="19" fillId="0" borderId="0" xfId="0" applyNumberFormat="1" applyFont="1" applyAlignment="1">
      <alignment vertical="center"/>
    </xf>
    <xf numFmtId="41" fontId="23" fillId="2" borderId="1" xfId="1" applyNumberFormat="1" applyFont="1" applyFill="1" applyBorder="1" applyAlignment="1">
      <alignment horizontal="center"/>
    </xf>
    <xf numFmtId="164" fontId="19" fillId="2" borderId="1" xfId="2" applyNumberFormat="1" applyFont="1" applyFill="1" applyBorder="1" applyAlignment="1">
      <alignment horizontal="center"/>
    </xf>
    <xf numFmtId="41" fontId="19" fillId="2" borderId="1" xfId="1" quotePrefix="1" applyFont="1" applyFill="1" applyBorder="1" applyAlignment="1">
      <alignment horizontal="right"/>
    </xf>
    <xf numFmtId="0" fontId="22" fillId="0" borderId="10" xfId="0" applyFont="1" applyBorder="1" applyAlignment="1">
      <alignment horizontal="center"/>
    </xf>
    <xf numFmtId="41" fontId="23" fillId="0" borderId="1" xfId="0" applyNumberFormat="1" applyFont="1" applyBorder="1" applyAlignment="1">
      <alignment horizontal="center" vertical="center"/>
    </xf>
    <xf numFmtId="41" fontId="19" fillId="0" borderId="1" xfId="1" applyFont="1" applyBorder="1" applyAlignment="1">
      <alignment horizontal="center"/>
    </xf>
    <xf numFmtId="41" fontId="19" fillId="0" borderId="1" xfId="0" applyNumberFormat="1" applyFont="1" applyBorder="1" applyAlignment="1">
      <alignment horizontal="center"/>
    </xf>
    <xf numFmtId="41" fontId="23" fillId="0" borderId="1" xfId="1" applyFont="1" applyBorder="1" applyAlignment="1">
      <alignment horizontal="center"/>
    </xf>
    <xf numFmtId="41" fontId="19" fillId="0" borderId="5" xfId="0" applyNumberFormat="1" applyFont="1" applyBorder="1" applyAlignment="1">
      <alignment horizontal="center"/>
    </xf>
    <xf numFmtId="41" fontId="19" fillId="0" borderId="1" xfId="0" applyNumberFormat="1" applyFont="1" applyBorder="1" applyAlignment="1">
      <alignment horizontal="center" vertical="center"/>
    </xf>
    <xf numFmtId="0" fontId="19" fillId="0" borderId="11" xfId="0" quotePrefix="1" applyFont="1" applyBorder="1" applyAlignment="1">
      <alignment horizontal="center"/>
    </xf>
    <xf numFmtId="41" fontId="19" fillId="2" borderId="11" xfId="1" applyFont="1" applyFill="1" applyBorder="1" applyAlignment="1">
      <alignment horizontal="center"/>
    </xf>
    <xf numFmtId="41" fontId="19" fillId="0" borderId="11" xfId="0" applyNumberFormat="1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41" fontId="19" fillId="2" borderId="0" xfId="1" applyFont="1" applyFill="1" applyBorder="1" applyAlignment="1">
      <alignment horizontal="center"/>
    </xf>
    <xf numFmtId="41" fontId="19" fillId="0" borderId="0" xfId="0" applyNumberFormat="1" applyFont="1" applyBorder="1" applyAlignment="1">
      <alignment horizontal="center"/>
    </xf>
    <xf numFmtId="0" fontId="19" fillId="0" borderId="12" xfId="0" quotePrefix="1" applyFont="1" applyBorder="1" applyAlignment="1">
      <alignment horizontal="center"/>
    </xf>
    <xf numFmtId="41" fontId="19" fillId="2" borderId="12" xfId="1" applyFont="1" applyFill="1" applyBorder="1" applyAlignment="1">
      <alignment horizontal="center"/>
    </xf>
    <xf numFmtId="41" fontId="19" fillId="0" borderId="12" xfId="0" applyNumberFormat="1" applyFont="1" applyBorder="1" applyAlignment="1">
      <alignment horizontal="center"/>
    </xf>
    <xf numFmtId="41" fontId="23" fillId="0" borderId="11" xfId="0" applyNumberFormat="1" applyFont="1" applyBorder="1" applyAlignment="1">
      <alignment horizontal="center"/>
    </xf>
    <xf numFmtId="41" fontId="23" fillId="0" borderId="0" xfId="0" applyNumberFormat="1" applyFont="1" applyBorder="1" applyAlignment="1">
      <alignment horizontal="center"/>
    </xf>
    <xf numFmtId="0" fontId="19" fillId="0" borderId="11" xfId="0" quotePrefix="1" applyFont="1" applyBorder="1" applyAlignment="1">
      <alignment horizontal="left"/>
    </xf>
    <xf numFmtId="0" fontId="19" fillId="0" borderId="0" xfId="0" quotePrefix="1" applyFont="1" applyBorder="1" applyAlignment="1">
      <alignment horizontal="left"/>
    </xf>
    <xf numFmtId="0" fontId="19" fillId="0" borderId="11" xfId="0" applyFont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3" fillId="0" borderId="35" xfId="0" applyFont="1" applyBorder="1" applyAlignment="1">
      <alignment horizontal="left" vertical="center"/>
    </xf>
    <xf numFmtId="0" fontId="19" fillId="0" borderId="42" xfId="0" applyFont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19" fillId="0" borderId="12" xfId="0" applyFont="1" applyBorder="1" applyAlignment="1">
      <alignment horizontal="center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29" xfId="0" quotePrefix="1" applyFont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41" fontId="23" fillId="0" borderId="12" xfId="0" applyNumberFormat="1" applyFont="1" applyBorder="1" applyAlignment="1">
      <alignment horizontal="center"/>
    </xf>
    <xf numFmtId="0" fontId="19" fillId="0" borderId="12" xfId="0" quotePrefix="1" applyFont="1" applyBorder="1" applyAlignment="1">
      <alignment horizontal="left"/>
    </xf>
    <xf numFmtId="0" fontId="23" fillId="0" borderId="9" xfId="0" quotePrefix="1" applyFont="1" applyBorder="1" applyAlignment="1">
      <alignment horizontal="left"/>
    </xf>
    <xf numFmtId="0" fontId="23" fillId="0" borderId="7" xfId="0" applyFont="1" applyBorder="1" applyAlignment="1">
      <alignment horizontal="center"/>
    </xf>
    <xf numFmtId="41" fontId="23" fillId="2" borderId="5" xfId="1" applyFont="1" applyFill="1" applyBorder="1" applyAlignment="1">
      <alignment horizontal="center"/>
    </xf>
    <xf numFmtId="43" fontId="27" fillId="0" borderId="0" xfId="2" applyFont="1"/>
    <xf numFmtId="0" fontId="19" fillId="0" borderId="0" xfId="0" applyFont="1" applyBorder="1" applyAlignment="1">
      <alignment horizontal="left"/>
    </xf>
    <xf numFmtId="0" fontId="22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12" xfId="0" quotePrefix="1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3" xfId="0" applyFont="1" applyBorder="1"/>
    <xf numFmtId="0" fontId="19" fillId="0" borderId="2" xfId="0" quotePrefix="1" applyFont="1" applyBorder="1" applyAlignment="1">
      <alignment horizontal="left"/>
    </xf>
    <xf numFmtId="0" fontId="19" fillId="0" borderId="3" xfId="0" quotePrefix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7" fontId="21" fillId="0" borderId="0" xfId="2" applyNumberFormat="1" applyFont="1" applyAlignment="1">
      <alignment horizontal="center"/>
    </xf>
    <xf numFmtId="0" fontId="22" fillId="0" borderId="11" xfId="0" applyFont="1" applyBorder="1" applyAlignment="1">
      <alignment horizontal="left"/>
    </xf>
    <xf numFmtId="0" fontId="22" fillId="0" borderId="3" xfId="0" quotePrefix="1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8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left"/>
    </xf>
    <xf numFmtId="41" fontId="28" fillId="0" borderId="1" xfId="0" applyNumberFormat="1" applyFont="1" applyBorder="1"/>
    <xf numFmtId="0" fontId="22" fillId="0" borderId="3" xfId="0" applyFont="1" applyBorder="1" applyAlignment="1">
      <alignment horizontal="left" vertical="justify"/>
    </xf>
    <xf numFmtId="0" fontId="22" fillId="0" borderId="4" xfId="0" applyFont="1" applyBorder="1" applyAlignment="1">
      <alignment horizontal="left" vertical="justify"/>
    </xf>
    <xf numFmtId="41" fontId="28" fillId="2" borderId="1" xfId="1" applyFont="1" applyFill="1" applyBorder="1"/>
    <xf numFmtId="43" fontId="22" fillId="0" borderId="3" xfId="2" applyFont="1" applyBorder="1" applyAlignment="1">
      <alignment horizontal="center"/>
    </xf>
    <xf numFmtId="164" fontId="22" fillId="0" borderId="3" xfId="2" applyNumberFormat="1" applyFont="1" applyBorder="1" applyAlignment="1">
      <alignment horizontal="center"/>
    </xf>
    <xf numFmtId="164" fontId="22" fillId="2" borderId="1" xfId="2" applyNumberFormat="1" applyFont="1" applyFill="1" applyBorder="1"/>
    <xf numFmtId="41" fontId="22" fillId="2" borderId="1" xfId="1" applyFont="1" applyFill="1" applyBorder="1"/>
    <xf numFmtId="43" fontId="22" fillId="2" borderId="1" xfId="2" applyFont="1" applyFill="1" applyBorder="1"/>
    <xf numFmtId="0" fontId="22" fillId="0" borderId="4" xfId="0" applyFont="1" applyBorder="1" applyAlignment="1">
      <alignment horizontal="center"/>
    </xf>
    <xf numFmtId="0" fontId="28" fillId="0" borderId="3" xfId="0" applyFont="1" applyBorder="1" applyAlignment="1"/>
    <xf numFmtId="41" fontId="28" fillId="2" borderId="1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2" fillId="0" borderId="2" xfId="0" quotePrefix="1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41" fontId="22" fillId="2" borderId="1" xfId="1" applyFont="1" applyFill="1" applyBorder="1" applyAlignment="1">
      <alignment horizontal="center"/>
    </xf>
    <xf numFmtId="41" fontId="22" fillId="2" borderId="1" xfId="1" quotePrefix="1" applyFont="1" applyFill="1" applyBorder="1" applyAlignment="1">
      <alignment horizontal="center"/>
    </xf>
    <xf numFmtId="41" fontId="28" fillId="2" borderId="1" xfId="0" quotePrefix="1" applyNumberFormat="1" applyFont="1" applyFill="1" applyBorder="1" applyAlignment="1">
      <alignment horizontal="center"/>
    </xf>
    <xf numFmtId="0" fontId="22" fillId="0" borderId="35" xfId="0" applyFont="1" applyBorder="1" applyAlignment="1">
      <alignment vertical="center"/>
    </xf>
    <xf numFmtId="41" fontId="28" fillId="2" borderId="1" xfId="1" applyFont="1" applyFill="1" applyBorder="1" applyAlignment="1">
      <alignment horizontal="center"/>
    </xf>
    <xf numFmtId="0" fontId="22" fillId="0" borderId="3" xfId="0" applyFont="1" applyBorder="1"/>
    <xf numFmtId="0" fontId="22" fillId="0" borderId="4" xfId="0" applyFont="1" applyBorder="1"/>
    <xf numFmtId="0" fontId="28" fillId="0" borderId="2" xfId="0" applyFont="1" applyBorder="1" applyAlignment="1"/>
    <xf numFmtId="0" fontId="22" fillId="0" borderId="3" xfId="0" applyFont="1" applyBorder="1" applyAlignment="1"/>
    <xf numFmtId="0" fontId="22" fillId="0" borderId="3" xfId="0" quotePrefix="1" applyFont="1" applyBorder="1" applyAlignment="1"/>
    <xf numFmtId="0" fontId="22" fillId="0" borderId="2" xfId="0" quotePrefix="1" applyFont="1" applyBorder="1" applyAlignment="1">
      <alignment horizontal="left"/>
    </xf>
    <xf numFmtId="43" fontId="28" fillId="2" borderId="1" xfId="2" applyFont="1" applyFill="1" applyBorder="1" applyAlignment="1">
      <alignment horizontal="center"/>
    </xf>
    <xf numFmtId="0" fontId="29" fillId="0" borderId="0" xfId="0" applyFont="1"/>
    <xf numFmtId="0" fontId="23" fillId="0" borderId="0" xfId="0" applyFont="1" applyAlignment="1">
      <alignment horizont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19" fillId="0" borderId="12" xfId="0" quotePrefix="1" applyFont="1" applyBorder="1" applyAlignment="1">
      <alignment horizontal="left"/>
    </xf>
    <xf numFmtId="0" fontId="19" fillId="0" borderId="2" xfId="0" quotePrefix="1" applyFont="1" applyBorder="1" applyAlignment="1">
      <alignment horizontal="left"/>
    </xf>
    <xf numFmtId="0" fontId="19" fillId="0" borderId="3" xfId="0" quotePrefix="1" applyFont="1" applyBorder="1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3" xfId="0" applyFont="1" applyBorder="1"/>
    <xf numFmtId="0" fontId="23" fillId="0" borderId="9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2" fillId="0" borderId="3" xfId="0" quotePrefix="1" applyFont="1" applyBorder="1" applyAlignment="1">
      <alignment horizontal="left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9" xfId="0" applyFont="1" applyBorder="1" applyAlignment="1">
      <alignment horizontal="left"/>
    </xf>
    <xf numFmtId="0" fontId="28" fillId="0" borderId="11" xfId="0" applyFont="1" applyBorder="1" applyAlignment="1">
      <alignment horizontal="left"/>
    </xf>
    <xf numFmtId="0" fontId="22" fillId="0" borderId="2" xfId="0" applyFont="1" applyBorder="1" applyAlignment="1">
      <alignment horizontal="left" vertical="justify"/>
    </xf>
    <xf numFmtId="0" fontId="22" fillId="0" borderId="3" xfId="0" applyFont="1" applyBorder="1" applyAlignment="1">
      <alignment horizontal="left" vertical="justify"/>
    </xf>
    <xf numFmtId="0" fontId="22" fillId="0" borderId="2" xfId="0" applyFont="1" applyBorder="1" applyAlignment="1">
      <alignment horizontal="center"/>
    </xf>
    <xf numFmtId="0" fontId="22" fillId="0" borderId="3" xfId="0" applyFont="1" applyBorder="1"/>
    <xf numFmtId="0" fontId="19" fillId="0" borderId="0" xfId="0" applyFont="1" applyAlignment="1">
      <alignment horizont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justify"/>
    </xf>
    <xf numFmtId="0" fontId="10" fillId="0" borderId="37" xfId="0" applyFont="1" applyBorder="1" applyAlignment="1">
      <alignment horizontal="left" vertical="justify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5" xfId="0" applyFont="1" applyBorder="1" applyAlignment="1">
      <alignment horizontal="left" vertical="justify"/>
    </xf>
    <xf numFmtId="0" fontId="8" fillId="0" borderId="37" xfId="0" applyFont="1" applyBorder="1" applyAlignment="1">
      <alignment horizontal="left" vertical="justify"/>
    </xf>
    <xf numFmtId="0" fontId="8" fillId="0" borderId="4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" fontId="8" fillId="0" borderId="0" xfId="0" quotePrefix="1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3" fillId="0" borderId="32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8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45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17" fontId="19" fillId="0" borderId="0" xfId="0" applyNumberFormat="1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7" fontId="19" fillId="0" borderId="0" xfId="0" quotePrefix="1" applyNumberFormat="1" applyFont="1" applyBorder="1" applyAlignment="1">
      <alignment horizontal="left"/>
    </xf>
    <xf numFmtId="0" fontId="19" fillId="0" borderId="3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3" fillId="0" borderId="35" xfId="0" applyFont="1" applyBorder="1" applyAlignment="1">
      <alignment horizontal="left" vertical="justify"/>
    </xf>
    <xf numFmtId="0" fontId="23" fillId="0" borderId="37" xfId="0" applyFont="1" applyBorder="1" applyAlignment="1">
      <alignment horizontal="left" vertical="justify"/>
    </xf>
    <xf numFmtId="0" fontId="19" fillId="0" borderId="35" xfId="0" applyFont="1" applyBorder="1" applyAlignment="1">
      <alignment horizontal="left" vertical="justify"/>
    </xf>
    <xf numFmtId="0" fontId="19" fillId="0" borderId="37" xfId="0" applyFont="1" applyBorder="1" applyAlignment="1">
      <alignment horizontal="left" vertical="justify"/>
    </xf>
    <xf numFmtId="0" fontId="23" fillId="0" borderId="35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19" fillId="0" borderId="42" xfId="0" applyFont="1" applyBorder="1" applyAlignment="1">
      <alignment horizontal="center" vertical="center"/>
    </xf>
    <xf numFmtId="0" fontId="23" fillId="0" borderId="33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4">
    <cellStyle name="Comma" xfId="2" builtinId="3"/>
    <cellStyle name="Comma [0]" xfId="1" builtinId="6"/>
    <cellStyle name="Hyperlink" xfId="3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A%20KAHAYYA/Tunjangan%20Kahaya/Honorarium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Desa%20Kahayya%202016\APBDesa%20Kahayya%202016\APBDesa%20%20KAHAYYA%202016%20-Perubah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indang (3)"/>
      <sheetName val="Kindang (2)"/>
      <sheetName val="Kindang"/>
      <sheetName val="Sheet3"/>
      <sheetName val="Sheet1"/>
    </sheetNames>
    <sheetDataSet>
      <sheetData sheetId="0">
        <row r="25">
          <cell r="G25">
            <v>8757200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2.2.3. (2)"/>
      <sheetName val="RAB 2.1.1OKE (2)"/>
      <sheetName val="RAB 2.1.1OKE"/>
      <sheetName val="RAB 2.1.2 OKE"/>
      <sheetName val="RAB 2.1.3  OKE"/>
      <sheetName val="RAB 2.1.4  OKE"/>
      <sheetName val="RAB 2.1.5 OKE "/>
      <sheetName val="RAB 2.1.8 OKE "/>
      <sheetName val="RAB 2.1.9"/>
      <sheetName val="RAB 2.1.10"/>
      <sheetName val="RAB 2.1.12"/>
      <sheetName val="RAB 2.1.13"/>
      <sheetName val="RAB 2.1.15"/>
      <sheetName val="RAB 2.2.3."/>
      <sheetName val="RAB 2.2.5"/>
      <sheetName val="RAB 2.2.7"/>
      <sheetName val="RAB 2.3.1OKE"/>
      <sheetName val="RAB 2.3.2 OKE"/>
      <sheetName val="RAB 2.3.4 OKE"/>
      <sheetName val="RAB 2.3.6"/>
      <sheetName val="RAB 2.3.9 OKE"/>
      <sheetName val="RAB 2.4.7 OKE"/>
      <sheetName val="RAB 2.4.14"/>
      <sheetName val="APBDESA 16.."/>
      <sheetName val="Lap.Realisasi DANA DESA I"/>
      <sheetName val="Sheet6"/>
      <sheetName val="Nama Kegiatan 2016"/>
      <sheetName val="Nama Kegiatan"/>
      <sheetName val="Sheet1"/>
      <sheetName val="Sheet2"/>
    </sheetNames>
    <sheetDataSet>
      <sheetData sheetId="0" refreshError="1"/>
      <sheetData sheetId="1" refreshError="1"/>
      <sheetData sheetId="2" refreshError="1"/>
      <sheetData sheetId="3">
        <row r="74">
          <cell r="F74" t="str">
            <v>Meja Kerja</v>
          </cell>
        </row>
      </sheetData>
      <sheetData sheetId="4" refreshError="1"/>
      <sheetData sheetId="5" refreshError="1"/>
      <sheetData sheetId="6" refreshError="1"/>
      <sheetData sheetId="7">
        <row r="13">
          <cell r="F13" t="str">
            <v>Belanja Barang &amp; Jasa</v>
          </cell>
        </row>
        <row r="15">
          <cell r="F15" t="str">
            <v>- Pendataan</v>
          </cell>
        </row>
        <row r="20">
          <cell r="F20" t="str">
            <v>Penghapus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1">
          <cell r="F21" t="str">
            <v>- Pekerja</v>
          </cell>
        </row>
        <row r="22">
          <cell r="F22" t="str">
            <v>- Tukang</v>
          </cell>
        </row>
        <row r="28">
          <cell r="F28" t="str">
            <v>Sewa Alat Berat (Excapator)</v>
          </cell>
        </row>
        <row r="30">
          <cell r="F30" t="str">
            <v>Sewa Alat Perintisan Jalan Dusun Gamaccaya (1.750 x 4 M)</v>
          </cell>
        </row>
        <row r="31">
          <cell r="F31" t="str">
            <v>- Excavator</v>
          </cell>
        </row>
        <row r="33">
          <cell r="F33" t="str">
            <v>Sewa Alat Perintisan Jalan Dusun Kahayya (1.070 x 4 M)</v>
          </cell>
        </row>
        <row r="34">
          <cell r="F34" t="str">
            <v>- Excavator</v>
          </cell>
        </row>
        <row r="37">
          <cell r="F37" t="str">
            <v>- Excavator</v>
          </cell>
        </row>
        <row r="40">
          <cell r="F40" t="str">
            <v>Pasir Pasangan</v>
          </cell>
        </row>
        <row r="41">
          <cell r="F41" t="str">
            <v>Semen Portland</v>
          </cell>
        </row>
        <row r="42">
          <cell r="F42" t="str">
            <v>Kerikil tersaring</v>
          </cell>
        </row>
        <row r="43">
          <cell r="F43" t="str">
            <v>Kayu/Papan</v>
          </cell>
        </row>
        <row r="44">
          <cell r="F44" t="str">
            <v>Kebutuhan Air</v>
          </cell>
        </row>
        <row r="45">
          <cell r="F45" t="str">
            <v>Gerobak</v>
          </cell>
        </row>
        <row r="46">
          <cell r="F46" t="str">
            <v>Skop</v>
          </cell>
        </row>
        <row r="47">
          <cell r="F47" t="str">
            <v>Ember</v>
          </cell>
        </row>
      </sheetData>
      <sheetData sheetId="14">
        <row r="14">
          <cell r="F14">
            <v>2</v>
          </cell>
        </row>
        <row r="15">
          <cell r="F15" t="str">
            <v>Belanja Barang &amp; Jasa</v>
          </cell>
        </row>
      </sheetData>
      <sheetData sheetId="15" refreshError="1"/>
      <sheetData sheetId="16" refreshError="1"/>
      <sheetData sheetId="17">
        <row r="12">
          <cell r="F12">
            <v>2</v>
          </cell>
        </row>
        <row r="16">
          <cell r="F16" t="str">
            <v>Makanan</v>
          </cell>
        </row>
        <row r="20">
          <cell r="F20" t="str">
            <v>Transport Peserta Gerak Jalan  (PP)</v>
          </cell>
        </row>
      </sheetData>
      <sheetData sheetId="18" refreshError="1"/>
      <sheetData sheetId="19">
        <row r="13">
          <cell r="F13" t="str">
            <v>Belanja Barang &amp; Jasa</v>
          </cell>
        </row>
        <row r="14">
          <cell r="F14" t="str">
            <v>Bahan/Peralatan Olahraga</v>
          </cell>
        </row>
        <row r="15">
          <cell r="F15" t="str">
            <v>- Raket</v>
          </cell>
        </row>
        <row r="16">
          <cell r="F16" t="str">
            <v>- Bola Badminton</v>
          </cell>
        </row>
        <row r="17">
          <cell r="F17" t="str">
            <v>- Tas Raket Badminton</v>
          </cell>
        </row>
      </sheetData>
      <sheetData sheetId="20" refreshError="1"/>
      <sheetData sheetId="21" refreshError="1"/>
      <sheetData sheetId="22">
        <row r="15">
          <cell r="F15">
            <v>2</v>
          </cell>
        </row>
        <row r="18">
          <cell r="F18" t="str">
            <v>- Tukang</v>
          </cell>
        </row>
        <row r="20">
          <cell r="F20" t="str">
            <v>Belanja Modal</v>
          </cell>
        </row>
        <row r="21">
          <cell r="F21" t="str">
            <v>Pipa Aw 1,5 Inci</v>
          </cell>
        </row>
        <row r="22">
          <cell r="F22" t="str">
            <v>Lem Pipa</v>
          </cell>
        </row>
        <row r="23">
          <cell r="F23" t="str">
            <v>Semen</v>
          </cell>
        </row>
        <row r="24">
          <cell r="F24" t="str">
            <v>Kerikil</v>
          </cell>
        </row>
        <row r="25">
          <cell r="F25" t="str">
            <v>Pasir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833"/>
  <sheetViews>
    <sheetView view="pageBreakPreview" topLeftCell="A393" zoomScaleSheetLayoutView="100" workbookViewId="0">
      <selection activeCell="O404" sqref="O404"/>
    </sheetView>
  </sheetViews>
  <sheetFormatPr defaultRowHeight="15"/>
  <cols>
    <col min="1" max="4" width="3" customWidth="1"/>
    <col min="5" max="6" width="1.5703125" customWidth="1"/>
    <col min="7" max="7" width="39.5703125" customWidth="1"/>
    <col min="8" max="8" width="2" hidden="1" customWidth="1"/>
    <col min="9" max="9" width="2.85546875" hidden="1" customWidth="1"/>
    <col min="10" max="10" width="3.7109375" hidden="1" customWidth="1"/>
    <col min="11" max="11" width="0.7109375" hidden="1" customWidth="1"/>
    <col min="12" max="12" width="0.5703125" hidden="1" customWidth="1"/>
    <col min="13" max="13" width="10.7109375" customWidth="1"/>
    <col min="14" max="16" width="15" customWidth="1"/>
    <col min="17" max="17" width="11.5703125" customWidth="1"/>
    <col min="19" max="20" width="16.5703125" bestFit="1" customWidth="1"/>
  </cols>
  <sheetData>
    <row r="1" spans="1:20" s="242" customFormat="1" ht="16.5">
      <c r="A1" s="695"/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</row>
    <row r="2" spans="1:20" s="242" customFormat="1" ht="15" customHeight="1">
      <c r="A2" s="692" t="s">
        <v>290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701"/>
      <c r="Q2" s="701"/>
    </row>
    <row r="3" spans="1:20" s="242" customFormat="1" ht="15" customHeight="1">
      <c r="A3" s="757" t="s">
        <v>580</v>
      </c>
      <c r="B3" s="757"/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</row>
    <row r="4" spans="1:20" s="242" customFormat="1" ht="15" customHeight="1">
      <c r="A4" s="757" t="s">
        <v>132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</row>
    <row r="5" spans="1:20" s="242" customFormat="1" ht="15" customHeight="1">
      <c r="A5" s="757" t="s">
        <v>581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</row>
    <row r="6" spans="1:20" s="242" customFormat="1" ht="15" customHeight="1">
      <c r="A6" s="757" t="s">
        <v>582</v>
      </c>
      <c r="B6" s="757"/>
      <c r="C6" s="757"/>
      <c r="D6" s="757"/>
      <c r="E6" s="757"/>
      <c r="F6" s="757"/>
      <c r="G6" s="757"/>
      <c r="H6" s="757"/>
      <c r="I6" s="757"/>
      <c r="J6" s="757"/>
      <c r="K6" s="757"/>
      <c r="L6" s="757"/>
      <c r="M6" s="757"/>
      <c r="N6" s="757"/>
      <c r="O6" s="757"/>
      <c r="P6" s="757"/>
      <c r="Q6" s="757"/>
    </row>
    <row r="7" spans="1:20" s="242" customFormat="1" ht="15" customHeight="1">
      <c r="A7" s="757" t="s">
        <v>211</v>
      </c>
      <c r="B7" s="757"/>
      <c r="C7" s="757"/>
      <c r="D7" s="757"/>
      <c r="E7" s="757"/>
      <c r="F7" s="757"/>
      <c r="G7" s="757"/>
      <c r="H7" s="757"/>
      <c r="I7" s="757"/>
      <c r="J7" s="757"/>
      <c r="K7" s="757"/>
      <c r="L7" s="757"/>
      <c r="M7" s="757"/>
      <c r="N7" s="757"/>
      <c r="O7" s="757"/>
      <c r="P7" s="757"/>
      <c r="Q7" s="757"/>
    </row>
    <row r="8" spans="1:20" s="242" customFormat="1" ht="15" customHeight="1"/>
    <row r="9" spans="1:20" s="243" customFormat="1" ht="15" customHeight="1">
      <c r="A9" s="775" t="s">
        <v>128</v>
      </c>
      <c r="B9" s="776"/>
      <c r="C9" s="776"/>
      <c r="D9" s="777"/>
      <c r="E9" s="683"/>
      <c r="F9" s="776" t="s">
        <v>1</v>
      </c>
      <c r="G9" s="776"/>
      <c r="H9" s="776"/>
      <c r="I9" s="776"/>
      <c r="J9" s="776"/>
      <c r="K9" s="776"/>
      <c r="L9" s="776"/>
      <c r="M9" s="777"/>
      <c r="N9" s="755" t="s">
        <v>579</v>
      </c>
      <c r="O9" s="755" t="s">
        <v>577</v>
      </c>
      <c r="P9" s="755" t="s">
        <v>576</v>
      </c>
      <c r="Q9" s="780" t="s">
        <v>131</v>
      </c>
    </row>
    <row r="10" spans="1:20" s="243" customFormat="1" ht="27" customHeight="1">
      <c r="A10" s="782" t="s">
        <v>129</v>
      </c>
      <c r="B10" s="783"/>
      <c r="C10" s="783"/>
      <c r="D10" s="784"/>
      <c r="E10" s="702"/>
      <c r="F10" s="778"/>
      <c r="G10" s="778"/>
      <c r="H10" s="778"/>
      <c r="I10" s="778"/>
      <c r="J10" s="778"/>
      <c r="K10" s="778"/>
      <c r="L10" s="778"/>
      <c r="M10" s="779"/>
      <c r="N10" s="756"/>
      <c r="O10" s="756"/>
      <c r="P10" s="756"/>
      <c r="Q10" s="781"/>
    </row>
    <row r="11" spans="1:20" s="242" customFormat="1" ht="15" customHeight="1">
      <c r="A11" s="580"/>
      <c r="B11" s="581">
        <v>1</v>
      </c>
      <c r="C11" s="581"/>
      <c r="D11" s="582"/>
      <c r="E11" s="760">
        <v>2</v>
      </c>
      <c r="F11" s="761"/>
      <c r="G11" s="761"/>
      <c r="H11" s="761"/>
      <c r="I11" s="761"/>
      <c r="J11" s="761"/>
      <c r="K11" s="761"/>
      <c r="L11" s="761"/>
      <c r="M11" s="582"/>
      <c r="N11" s="513">
        <v>3</v>
      </c>
      <c r="O11" s="513"/>
      <c r="P11" s="513"/>
      <c r="Q11" s="513">
        <v>4</v>
      </c>
      <c r="S11" s="583">
        <v>0.3</v>
      </c>
      <c r="T11" s="583">
        <v>0.7</v>
      </c>
    </row>
    <row r="12" spans="1:20" s="242" customFormat="1" ht="15" customHeight="1">
      <c r="A12" s="351"/>
      <c r="B12" s="584"/>
      <c r="C12" s="584"/>
      <c r="D12" s="584"/>
      <c r="E12" s="770" t="s">
        <v>578</v>
      </c>
      <c r="F12" s="771"/>
      <c r="G12" s="771"/>
      <c r="H12" s="771"/>
      <c r="I12" s="771"/>
      <c r="J12" s="771"/>
      <c r="K12" s="771"/>
      <c r="L12" s="771"/>
      <c r="M12" s="585"/>
      <c r="N12" s="429">
        <f>SUM(N13+N22)</f>
        <v>1042646195</v>
      </c>
      <c r="O12" s="429"/>
      <c r="P12" s="429"/>
      <c r="Q12" s="596"/>
      <c r="S12" s="282">
        <f>N12*30%</f>
        <v>312793858.5</v>
      </c>
      <c r="T12" s="282">
        <f>N12*70%</f>
        <v>729852336.5</v>
      </c>
    </row>
    <row r="13" spans="1:20" s="383" customFormat="1" ht="15" customHeight="1">
      <c r="A13" s="693">
        <v>1</v>
      </c>
      <c r="B13" s="688">
        <v>1</v>
      </c>
      <c r="C13" s="688"/>
      <c r="D13" s="688"/>
      <c r="E13" s="772" t="s">
        <v>134</v>
      </c>
      <c r="F13" s="773"/>
      <c r="G13" s="773"/>
      <c r="H13" s="773"/>
      <c r="I13" s="773"/>
      <c r="J13" s="773"/>
      <c r="K13" s="773"/>
      <c r="L13" s="773"/>
      <c r="M13" s="774"/>
      <c r="N13" s="586">
        <f>N14+N19+N20</f>
        <v>20000000</v>
      </c>
      <c r="O13" s="586"/>
      <c r="P13" s="586"/>
      <c r="Q13" s="635"/>
    </row>
    <row r="14" spans="1:20" s="242" customFormat="1" ht="15" customHeight="1">
      <c r="A14" s="689">
        <v>1</v>
      </c>
      <c r="B14" s="691">
        <v>1</v>
      </c>
      <c r="C14" s="691">
        <v>1</v>
      </c>
      <c r="D14" s="691"/>
      <c r="E14" s="758" t="s">
        <v>135</v>
      </c>
      <c r="F14" s="759"/>
      <c r="G14" s="759"/>
      <c r="H14" s="759"/>
      <c r="I14" s="759"/>
      <c r="J14" s="759"/>
      <c r="K14" s="759"/>
      <c r="L14" s="759"/>
      <c r="M14" s="690"/>
      <c r="N14" s="587">
        <f>SUM(N15:N17)</f>
        <v>20000000</v>
      </c>
      <c r="O14" s="587"/>
      <c r="P14" s="587"/>
      <c r="Q14" s="636"/>
      <c r="S14" s="588"/>
    </row>
    <row r="15" spans="1:20" s="242" customFormat="1" ht="15" customHeight="1">
      <c r="A15" s="689"/>
      <c r="B15" s="691"/>
      <c r="C15" s="691"/>
      <c r="D15" s="691"/>
      <c r="E15" s="707" t="s">
        <v>14</v>
      </c>
      <c r="F15" s="697" t="s">
        <v>575</v>
      </c>
      <c r="G15" s="697"/>
      <c r="H15" s="697"/>
      <c r="I15" s="697"/>
      <c r="J15" s="697"/>
      <c r="K15" s="697"/>
      <c r="L15" s="697"/>
      <c r="M15" s="690"/>
      <c r="N15" s="587">
        <v>7200000</v>
      </c>
      <c r="O15" s="587"/>
      <c r="P15" s="587"/>
      <c r="Q15" s="636"/>
      <c r="S15" s="588"/>
    </row>
    <row r="16" spans="1:20" s="242" customFormat="1" ht="15" customHeight="1">
      <c r="A16" s="689"/>
      <c r="B16" s="691"/>
      <c r="C16" s="691"/>
      <c r="D16" s="691"/>
      <c r="E16" s="707" t="s">
        <v>14</v>
      </c>
      <c r="F16" s="697" t="s">
        <v>444</v>
      </c>
      <c r="G16" s="697"/>
      <c r="H16" s="697"/>
      <c r="I16" s="697"/>
      <c r="J16" s="697"/>
      <c r="K16" s="697"/>
      <c r="L16" s="697"/>
      <c r="M16" s="690"/>
      <c r="N16" s="587">
        <v>4800000</v>
      </c>
      <c r="O16" s="587"/>
      <c r="P16" s="587"/>
      <c r="Q16" s="636"/>
      <c r="S16" s="588">
        <f>20000000-N13</f>
        <v>0</v>
      </c>
    </row>
    <row r="17" spans="1:20" s="242" customFormat="1" ht="15" customHeight="1">
      <c r="A17" s="689"/>
      <c r="B17" s="691"/>
      <c r="C17" s="691"/>
      <c r="D17" s="691"/>
      <c r="E17" s="707" t="s">
        <v>14</v>
      </c>
      <c r="F17" s="697" t="s">
        <v>443</v>
      </c>
      <c r="G17" s="697"/>
      <c r="H17" s="697"/>
      <c r="I17" s="697"/>
      <c r="J17" s="697"/>
      <c r="K17" s="697"/>
      <c r="L17" s="697"/>
      <c r="M17" s="690"/>
      <c r="N17" s="587">
        <v>8000000</v>
      </c>
      <c r="O17" s="587"/>
      <c r="P17" s="587"/>
      <c r="Q17" s="636"/>
      <c r="S17" s="588"/>
    </row>
    <row r="18" spans="1:20" s="242" customFormat="1" ht="15" customHeight="1">
      <c r="A18" s="689"/>
      <c r="B18" s="691"/>
      <c r="C18" s="691"/>
      <c r="D18" s="691"/>
      <c r="E18" s="707"/>
      <c r="F18" s="697"/>
      <c r="G18" s="697"/>
      <c r="H18" s="697"/>
      <c r="I18" s="697"/>
      <c r="J18" s="697"/>
      <c r="K18" s="697"/>
      <c r="L18" s="697"/>
      <c r="M18" s="690"/>
      <c r="N18" s="587"/>
      <c r="O18" s="587"/>
      <c r="P18" s="587"/>
      <c r="Q18" s="636"/>
      <c r="S18" s="588"/>
    </row>
    <row r="19" spans="1:20" s="242" customFormat="1" ht="15" customHeight="1">
      <c r="A19" s="689">
        <v>1</v>
      </c>
      <c r="B19" s="691">
        <v>1</v>
      </c>
      <c r="C19" s="691">
        <v>2</v>
      </c>
      <c r="D19" s="691"/>
      <c r="E19" s="758" t="s">
        <v>136</v>
      </c>
      <c r="F19" s="759"/>
      <c r="G19" s="759"/>
      <c r="H19" s="759"/>
      <c r="I19" s="759"/>
      <c r="J19" s="759"/>
      <c r="K19" s="759"/>
      <c r="L19" s="759"/>
      <c r="M19" s="690"/>
      <c r="N19" s="591">
        <v>0</v>
      </c>
      <c r="O19" s="591"/>
      <c r="P19" s="591"/>
      <c r="Q19" s="636"/>
    </row>
    <row r="20" spans="1:20" s="242" customFormat="1" ht="15" customHeight="1">
      <c r="A20" s="689">
        <v>1</v>
      </c>
      <c r="B20" s="691">
        <v>1</v>
      </c>
      <c r="C20" s="691">
        <v>3</v>
      </c>
      <c r="D20" s="691"/>
      <c r="E20" s="758" t="s">
        <v>137</v>
      </c>
      <c r="F20" s="759"/>
      <c r="G20" s="759"/>
      <c r="H20" s="759"/>
      <c r="I20" s="759"/>
      <c r="J20" s="759"/>
      <c r="K20" s="759"/>
      <c r="L20" s="759"/>
      <c r="M20" s="690"/>
      <c r="N20" s="587"/>
      <c r="O20" s="587"/>
      <c r="P20" s="587"/>
      <c r="Q20" s="636"/>
    </row>
    <row r="21" spans="1:20" s="242" customFormat="1" ht="15" customHeight="1">
      <c r="A21" s="689"/>
      <c r="B21" s="691"/>
      <c r="C21" s="691"/>
      <c r="D21" s="691"/>
      <c r="E21" s="758"/>
      <c r="F21" s="759"/>
      <c r="G21" s="759"/>
      <c r="H21" s="759"/>
      <c r="I21" s="759"/>
      <c r="J21" s="759"/>
      <c r="K21" s="759"/>
      <c r="L21" s="759"/>
      <c r="M21" s="592"/>
      <c r="N21" s="587"/>
      <c r="O21" s="587"/>
      <c r="P21" s="587"/>
      <c r="Q21" s="636"/>
    </row>
    <row r="22" spans="1:20" s="242" customFormat="1" ht="15" customHeight="1">
      <c r="A22" s="689">
        <v>1</v>
      </c>
      <c r="B22" s="691">
        <v>2</v>
      </c>
      <c r="C22" s="691"/>
      <c r="D22" s="691"/>
      <c r="E22" s="593" t="s">
        <v>138</v>
      </c>
      <c r="F22" s="594"/>
      <c r="G22" s="594"/>
      <c r="H22" s="594"/>
      <c r="I22" s="594"/>
      <c r="J22" s="594"/>
      <c r="K22" s="594"/>
      <c r="L22" s="594"/>
      <c r="M22" s="592"/>
      <c r="N22" s="595">
        <f>SUM(N23+N24+N28+N29)</f>
        <v>1022646195</v>
      </c>
      <c r="O22" s="595"/>
      <c r="P22" s="595"/>
      <c r="Q22" s="636"/>
    </row>
    <row r="23" spans="1:20" s="242" customFormat="1" ht="15" customHeight="1">
      <c r="A23" s="689">
        <v>1</v>
      </c>
      <c r="B23" s="691">
        <v>2</v>
      </c>
      <c r="C23" s="691">
        <v>1</v>
      </c>
      <c r="D23" s="691"/>
      <c r="E23" s="593" t="s">
        <v>139</v>
      </c>
      <c r="F23" s="594"/>
      <c r="G23" s="594"/>
      <c r="H23" s="594"/>
      <c r="I23" s="594"/>
      <c r="J23" s="594"/>
      <c r="K23" s="594"/>
      <c r="L23" s="594"/>
      <c r="M23" s="690"/>
      <c r="N23" s="595">
        <v>641767000</v>
      </c>
      <c r="O23" s="595">
        <f>N23*60%</f>
        <v>385060200</v>
      </c>
      <c r="P23" s="595">
        <f>N23-O23</f>
        <v>256706800</v>
      </c>
      <c r="Q23" s="637"/>
      <c r="S23" s="271">
        <v>13303838</v>
      </c>
    </row>
    <row r="24" spans="1:20" s="242" customFormat="1" ht="15" customHeight="1">
      <c r="A24" s="689">
        <v>1</v>
      </c>
      <c r="B24" s="691">
        <v>2</v>
      </c>
      <c r="C24" s="691">
        <v>2</v>
      </c>
      <c r="D24" s="691"/>
      <c r="E24" s="593" t="s">
        <v>140</v>
      </c>
      <c r="F24" s="594"/>
      <c r="G24" s="594"/>
      <c r="H24" s="594"/>
      <c r="I24" s="594"/>
      <c r="J24" s="594"/>
      <c r="K24" s="594"/>
      <c r="L24" s="594"/>
      <c r="M24" s="690"/>
      <c r="N24" s="595">
        <f>SUM(N25:N27)</f>
        <v>36712389</v>
      </c>
      <c r="O24" s="595"/>
      <c r="P24" s="595"/>
      <c r="Q24" s="637"/>
      <c r="S24" s="271">
        <v>9382982</v>
      </c>
    </row>
    <row r="25" spans="1:20" s="242" customFormat="1" ht="15" customHeight="1">
      <c r="A25" s="689">
        <v>1</v>
      </c>
      <c r="B25" s="691">
        <v>2</v>
      </c>
      <c r="C25" s="691">
        <v>2</v>
      </c>
      <c r="D25" s="691">
        <v>1</v>
      </c>
      <c r="E25" s="707" t="s">
        <v>404</v>
      </c>
      <c r="F25" s="697"/>
      <c r="G25" s="697"/>
      <c r="H25" s="697"/>
      <c r="I25" s="697"/>
      <c r="J25" s="697"/>
      <c r="K25" s="697"/>
      <c r="L25" s="697"/>
      <c r="M25" s="690"/>
      <c r="N25" s="587">
        <v>14384750</v>
      </c>
      <c r="O25" s="587"/>
      <c r="P25" s="587"/>
      <c r="Q25" s="637"/>
      <c r="S25" s="271"/>
    </row>
    <row r="26" spans="1:20" s="242" customFormat="1" ht="15" customHeight="1">
      <c r="A26" s="689">
        <v>1</v>
      </c>
      <c r="B26" s="691">
        <v>2</v>
      </c>
      <c r="C26" s="691">
        <v>2</v>
      </c>
      <c r="D26" s="691">
        <v>2</v>
      </c>
      <c r="E26" s="707" t="s">
        <v>405</v>
      </c>
      <c r="F26" s="697"/>
      <c r="G26" s="697"/>
      <c r="H26" s="697"/>
      <c r="I26" s="697"/>
      <c r="J26" s="697"/>
      <c r="K26" s="697"/>
      <c r="L26" s="697"/>
      <c r="M26" s="690"/>
      <c r="N26" s="587">
        <v>11413990</v>
      </c>
      <c r="O26" s="587"/>
      <c r="P26" s="587"/>
      <c r="Q26" s="637"/>
      <c r="S26" s="271"/>
    </row>
    <row r="27" spans="1:20" s="242" customFormat="1" ht="15" customHeight="1">
      <c r="A27" s="689">
        <v>1</v>
      </c>
      <c r="B27" s="691">
        <v>2</v>
      </c>
      <c r="C27" s="691">
        <v>2</v>
      </c>
      <c r="D27" s="691">
        <v>3</v>
      </c>
      <c r="E27" s="707" t="s">
        <v>406</v>
      </c>
      <c r="F27" s="697"/>
      <c r="G27" s="697"/>
      <c r="H27" s="697"/>
      <c r="I27" s="697"/>
      <c r="J27" s="697"/>
      <c r="K27" s="697"/>
      <c r="L27" s="697"/>
      <c r="M27" s="690"/>
      <c r="N27" s="587">
        <v>10913649</v>
      </c>
      <c r="O27" s="587"/>
      <c r="P27" s="587"/>
      <c r="Q27" s="637"/>
      <c r="S27" s="271"/>
    </row>
    <row r="28" spans="1:20" s="242" customFormat="1" ht="15" customHeight="1">
      <c r="A28" s="689">
        <v>1</v>
      </c>
      <c r="B28" s="691">
        <v>2</v>
      </c>
      <c r="C28" s="691">
        <v>3</v>
      </c>
      <c r="D28" s="691"/>
      <c r="E28" s="593" t="s">
        <v>141</v>
      </c>
      <c r="F28" s="594"/>
      <c r="G28" s="594"/>
      <c r="H28" s="594"/>
      <c r="I28" s="594"/>
      <c r="J28" s="594"/>
      <c r="K28" s="594"/>
      <c r="L28" s="594"/>
      <c r="M28" s="690"/>
      <c r="N28" s="595">
        <v>344166806</v>
      </c>
      <c r="O28" s="595">
        <f>N28*40%</f>
        <v>137666722.40000001</v>
      </c>
      <c r="P28" s="595">
        <f>N28-O28</f>
        <v>206500083.59999999</v>
      </c>
      <c r="Q28" s="596"/>
      <c r="S28" s="282">
        <f>SUM(S23:S24)</f>
        <v>22686820</v>
      </c>
    </row>
    <row r="29" spans="1:20" s="242" customFormat="1" ht="15" customHeight="1">
      <c r="A29" s="689">
        <v>1</v>
      </c>
      <c r="B29" s="691">
        <v>2</v>
      </c>
      <c r="C29" s="691">
        <v>4</v>
      </c>
      <c r="D29" s="691"/>
      <c r="E29" s="758" t="s">
        <v>142</v>
      </c>
      <c r="F29" s="759"/>
      <c r="G29" s="759"/>
      <c r="H29" s="759"/>
      <c r="I29" s="759"/>
      <c r="J29" s="759"/>
      <c r="K29" s="759"/>
      <c r="L29" s="759"/>
      <c r="M29" s="690"/>
      <c r="N29" s="595">
        <f>SUM(N30:N31)</f>
        <v>0</v>
      </c>
      <c r="O29" s="595"/>
      <c r="P29" s="595"/>
      <c r="Q29" s="637"/>
    </row>
    <row r="30" spans="1:20" s="242" customFormat="1" ht="15" customHeight="1">
      <c r="A30" s="689">
        <v>1</v>
      </c>
      <c r="B30" s="691">
        <v>2</v>
      </c>
      <c r="C30" s="691">
        <v>4</v>
      </c>
      <c r="D30" s="691">
        <v>1</v>
      </c>
      <c r="E30" s="758" t="s">
        <v>143</v>
      </c>
      <c r="F30" s="759"/>
      <c r="G30" s="759"/>
      <c r="H30" s="759"/>
      <c r="I30" s="759"/>
      <c r="J30" s="759"/>
      <c r="K30" s="759"/>
      <c r="L30" s="759"/>
      <c r="M30" s="690"/>
      <c r="N30" s="587">
        <v>0</v>
      </c>
      <c r="O30" s="587"/>
      <c r="P30" s="587"/>
      <c r="Q30" s="637"/>
      <c r="S30" s="271">
        <v>23903700</v>
      </c>
      <c r="T30" s="311">
        <f>N28+N29</f>
        <v>344166806</v>
      </c>
    </row>
    <row r="31" spans="1:20" s="242" customFormat="1" ht="15" customHeight="1">
      <c r="A31" s="689">
        <v>1</v>
      </c>
      <c r="B31" s="691">
        <v>2</v>
      </c>
      <c r="C31" s="691">
        <v>4</v>
      </c>
      <c r="D31" s="691">
        <v>2</v>
      </c>
      <c r="E31" s="758" t="s">
        <v>144</v>
      </c>
      <c r="F31" s="759"/>
      <c r="G31" s="759"/>
      <c r="H31" s="759"/>
      <c r="I31" s="759"/>
      <c r="J31" s="759"/>
      <c r="K31" s="759"/>
      <c r="L31" s="759"/>
      <c r="M31" s="690"/>
      <c r="N31" s="587">
        <v>0</v>
      </c>
      <c r="O31" s="587"/>
      <c r="P31" s="587"/>
      <c r="Q31" s="637"/>
      <c r="S31" s="282">
        <f>S30*9</f>
        <v>215133300</v>
      </c>
    </row>
    <row r="32" spans="1:20" s="242" customFormat="1" ht="15" customHeight="1">
      <c r="A32" s="689"/>
      <c r="B32" s="691"/>
      <c r="C32" s="691"/>
      <c r="D32" s="691"/>
      <c r="E32" s="758"/>
      <c r="F32" s="759"/>
      <c r="G32" s="759"/>
      <c r="H32" s="759"/>
      <c r="I32" s="759"/>
      <c r="J32" s="759"/>
      <c r="K32" s="759"/>
      <c r="L32" s="759"/>
      <c r="M32" s="687"/>
      <c r="N32" s="587"/>
      <c r="O32" s="587"/>
      <c r="P32" s="587"/>
      <c r="Q32" s="513"/>
    </row>
    <row r="33" spans="1:19" s="242" customFormat="1" ht="15" customHeight="1">
      <c r="A33" s="689">
        <v>1</v>
      </c>
      <c r="B33" s="691">
        <v>3</v>
      </c>
      <c r="C33" s="691"/>
      <c r="D33" s="691"/>
      <c r="E33" s="762" t="s">
        <v>145</v>
      </c>
      <c r="F33" s="763"/>
      <c r="G33" s="763"/>
      <c r="H33" s="763"/>
      <c r="I33" s="763"/>
      <c r="J33" s="763"/>
      <c r="K33" s="763"/>
      <c r="L33" s="763"/>
      <c r="M33" s="687"/>
      <c r="N33" s="591">
        <f>SUM(N34:N35)</f>
        <v>0</v>
      </c>
      <c r="O33" s="591"/>
      <c r="P33" s="591"/>
      <c r="Q33" s="596"/>
      <c r="S33" s="271">
        <f>'[1]Kindang (3)'!$G$25*12</f>
        <v>105086400</v>
      </c>
    </row>
    <row r="34" spans="1:19" s="242" customFormat="1" ht="15" customHeight="1">
      <c r="A34" s="689">
        <v>1</v>
      </c>
      <c r="B34" s="691">
        <v>3</v>
      </c>
      <c r="C34" s="691">
        <v>1</v>
      </c>
      <c r="D34" s="691"/>
      <c r="E34" s="593" t="s">
        <v>146</v>
      </c>
      <c r="F34" s="594"/>
      <c r="G34" s="594"/>
      <c r="H34" s="594"/>
      <c r="I34" s="594"/>
      <c r="J34" s="594"/>
      <c r="K34" s="594"/>
      <c r="L34" s="594"/>
      <c r="M34" s="690"/>
      <c r="N34" s="591">
        <v>0</v>
      </c>
      <c r="O34" s="591"/>
      <c r="P34" s="591"/>
      <c r="Q34" s="637"/>
    </row>
    <row r="35" spans="1:19" s="242" customFormat="1" ht="15" customHeight="1">
      <c r="A35" s="689">
        <v>1</v>
      </c>
      <c r="B35" s="691">
        <v>3</v>
      </c>
      <c r="C35" s="691">
        <v>2</v>
      </c>
      <c r="D35" s="691"/>
      <c r="E35" s="758" t="s">
        <v>147</v>
      </c>
      <c r="F35" s="759"/>
      <c r="G35" s="759"/>
      <c r="H35" s="759"/>
      <c r="I35" s="759"/>
      <c r="J35" s="759"/>
      <c r="K35" s="759"/>
      <c r="L35" s="759"/>
      <c r="M35" s="690"/>
      <c r="N35" s="591">
        <v>0</v>
      </c>
      <c r="O35" s="591"/>
      <c r="P35" s="591"/>
      <c r="Q35" s="637"/>
    </row>
    <row r="36" spans="1:19" s="242" customFormat="1" ht="15" customHeight="1">
      <c r="A36" s="689"/>
      <c r="B36" s="691"/>
      <c r="C36" s="691"/>
      <c r="D36" s="691"/>
      <c r="E36" s="758"/>
      <c r="F36" s="759"/>
      <c r="G36" s="759"/>
      <c r="H36" s="759"/>
      <c r="I36" s="759"/>
      <c r="J36" s="759"/>
      <c r="K36" s="759"/>
      <c r="L36" s="759"/>
      <c r="M36" s="690"/>
      <c r="N36" s="587"/>
      <c r="O36" s="587"/>
      <c r="P36" s="587"/>
      <c r="Q36" s="637"/>
    </row>
    <row r="37" spans="1:19" s="242" customFormat="1" ht="15" customHeight="1">
      <c r="A37" s="689"/>
      <c r="B37" s="691"/>
      <c r="C37" s="691"/>
      <c r="D37" s="691"/>
      <c r="E37" s="762" t="s">
        <v>148</v>
      </c>
      <c r="F37" s="763"/>
      <c r="G37" s="763"/>
      <c r="H37" s="763"/>
      <c r="I37" s="763"/>
      <c r="J37" s="763"/>
      <c r="K37" s="763"/>
      <c r="L37" s="763"/>
      <c r="M37" s="690"/>
      <c r="N37" s="597">
        <f>SUM(N12)</f>
        <v>1042646195</v>
      </c>
      <c r="O37" s="597"/>
      <c r="P37" s="597"/>
      <c r="Q37" s="598"/>
      <c r="S37" s="599"/>
    </row>
    <row r="38" spans="1:19" s="242" customFormat="1" ht="15" customHeight="1">
      <c r="A38" s="689"/>
      <c r="B38" s="691"/>
      <c r="C38" s="691"/>
      <c r="D38" s="691"/>
      <c r="E38" s="768"/>
      <c r="F38" s="769"/>
      <c r="G38" s="769"/>
      <c r="H38" s="769"/>
      <c r="I38" s="769"/>
      <c r="J38" s="769"/>
      <c r="K38" s="769"/>
      <c r="L38" s="769"/>
      <c r="M38" s="690"/>
      <c r="N38" s="587"/>
      <c r="O38" s="587"/>
      <c r="P38" s="587"/>
      <c r="Q38" s="637"/>
    </row>
    <row r="39" spans="1:19" s="242" customFormat="1" ht="15" customHeight="1">
      <c r="A39" s="689">
        <v>2</v>
      </c>
      <c r="B39" s="691"/>
      <c r="C39" s="691"/>
      <c r="D39" s="691"/>
      <c r="E39" s="600" t="s">
        <v>14</v>
      </c>
      <c r="F39" s="763" t="s">
        <v>149</v>
      </c>
      <c r="G39" s="763"/>
      <c r="H39" s="763"/>
      <c r="I39" s="763"/>
      <c r="J39" s="763"/>
      <c r="K39" s="763"/>
      <c r="L39" s="763"/>
      <c r="M39" s="690"/>
      <c r="N39" s="601"/>
      <c r="O39" s="601"/>
      <c r="P39" s="601"/>
      <c r="Q39" s="596"/>
      <c r="S39" s="602"/>
    </row>
    <row r="40" spans="1:19" s="242" customFormat="1" ht="15" customHeight="1">
      <c r="A40" s="685">
        <v>2</v>
      </c>
      <c r="B40" s="513">
        <v>1</v>
      </c>
      <c r="C40" s="513"/>
      <c r="D40" s="513"/>
      <c r="E40" s="580" t="s">
        <v>82</v>
      </c>
      <c r="F40" s="581"/>
      <c r="G40" s="581"/>
      <c r="H40" s="581"/>
      <c r="I40" s="581"/>
      <c r="J40" s="581"/>
      <c r="K40" s="581"/>
      <c r="L40" s="581"/>
      <c r="M40" s="687"/>
      <c r="N40" s="601">
        <f>SUM(N42+N47+N67+N75+N80+N85+N95+N100+N107+N114+N132+N139+N146)</f>
        <v>276059873</v>
      </c>
      <c r="O40" s="601"/>
      <c r="P40" s="601"/>
      <c r="Q40" s="637"/>
      <c r="S40" s="282">
        <f>S12-N40</f>
        <v>36733985.5</v>
      </c>
    </row>
    <row r="41" spans="1:19" s="242" customFormat="1" ht="15" customHeight="1">
      <c r="A41" s="685"/>
      <c r="B41" s="513"/>
      <c r="C41" s="513"/>
      <c r="D41" s="513"/>
      <c r="E41" s="699"/>
      <c r="F41" s="700"/>
      <c r="G41" s="700"/>
      <c r="H41" s="700"/>
      <c r="I41" s="700"/>
      <c r="J41" s="700"/>
      <c r="K41" s="700"/>
      <c r="L41" s="700"/>
      <c r="M41" s="687"/>
      <c r="N41" s="601"/>
      <c r="O41" s="601"/>
      <c r="P41" s="601"/>
      <c r="Q41" s="637"/>
      <c r="S41" s="282"/>
    </row>
    <row r="42" spans="1:19" s="242" customFormat="1" ht="15" customHeight="1">
      <c r="A42" s="689">
        <v>2</v>
      </c>
      <c r="B42" s="691">
        <v>1</v>
      </c>
      <c r="C42" s="691">
        <v>1</v>
      </c>
      <c r="D42" s="691"/>
      <c r="E42" s="593" t="s">
        <v>174</v>
      </c>
      <c r="F42" s="594"/>
      <c r="G42" s="594"/>
      <c r="H42" s="594"/>
      <c r="I42" s="594"/>
      <c r="J42" s="594"/>
      <c r="K42" s="594"/>
      <c r="L42" s="594"/>
      <c r="M42" s="690"/>
      <c r="N42" s="601">
        <f>SUM(N43)</f>
        <v>117773900</v>
      </c>
      <c r="O42" s="601"/>
      <c r="P42" s="601"/>
      <c r="Q42" s="637" t="s">
        <v>288</v>
      </c>
    </row>
    <row r="43" spans="1:19" s="242" customFormat="1" ht="15" customHeight="1">
      <c r="A43" s="689">
        <v>2</v>
      </c>
      <c r="B43" s="691">
        <v>1</v>
      </c>
      <c r="C43" s="691">
        <v>1</v>
      </c>
      <c r="D43" s="691">
        <v>1</v>
      </c>
      <c r="E43" s="758" t="s">
        <v>150</v>
      </c>
      <c r="F43" s="759"/>
      <c r="G43" s="759"/>
      <c r="H43" s="759"/>
      <c r="I43" s="759"/>
      <c r="J43" s="759"/>
      <c r="K43" s="759"/>
      <c r="L43" s="759"/>
      <c r="M43" s="690"/>
      <c r="N43" s="601">
        <f>SUM(N44:N46)</f>
        <v>117773900</v>
      </c>
      <c r="O43" s="601">
        <f>SUM(O44:O46)</f>
        <v>40286000</v>
      </c>
      <c r="P43" s="601"/>
      <c r="Q43" s="637"/>
    </row>
    <row r="44" spans="1:19" s="242" customFormat="1" ht="15" customHeight="1">
      <c r="A44" s="689"/>
      <c r="B44" s="691"/>
      <c r="C44" s="691"/>
      <c r="D44" s="691"/>
      <c r="E44" s="600" t="s">
        <v>14</v>
      </c>
      <c r="F44" s="594" t="s">
        <v>83</v>
      </c>
      <c r="G44" s="697"/>
      <c r="H44" s="594"/>
      <c r="I44" s="594"/>
      <c r="J44" s="594"/>
      <c r="K44" s="594"/>
      <c r="L44" s="594"/>
      <c r="M44" s="690"/>
      <c r="N44" s="605">
        <f>'RAB 2.1.1OKE'!R17</f>
        <v>95086400</v>
      </c>
      <c r="O44" s="605">
        <v>33786000</v>
      </c>
      <c r="P44" s="605"/>
      <c r="Q44" s="637"/>
    </row>
    <row r="45" spans="1:19" s="242" customFormat="1" ht="15" customHeight="1">
      <c r="A45" s="689"/>
      <c r="B45" s="691"/>
      <c r="C45" s="691"/>
      <c r="D45" s="691"/>
      <c r="E45" s="600" t="s">
        <v>14</v>
      </c>
      <c r="F45" s="697" t="s">
        <v>284</v>
      </c>
      <c r="G45" s="697"/>
      <c r="H45" s="697"/>
      <c r="I45" s="697"/>
      <c r="J45" s="697"/>
      <c r="K45" s="697"/>
      <c r="L45" s="697"/>
      <c r="M45" s="606"/>
      <c r="N45" s="591">
        <f>'RAB 2.1.1OKE'!R22</f>
        <v>7087500</v>
      </c>
      <c r="O45" s="591">
        <v>0</v>
      </c>
      <c r="P45" s="591"/>
      <c r="Q45" s="637"/>
    </row>
    <row r="46" spans="1:19" s="242" customFormat="1" ht="15" customHeight="1">
      <c r="A46" s="689"/>
      <c r="B46" s="691"/>
      <c r="C46" s="691"/>
      <c r="D46" s="691"/>
      <c r="E46" s="600" t="s">
        <v>14</v>
      </c>
      <c r="F46" s="697" t="s">
        <v>23</v>
      </c>
      <c r="G46" s="697"/>
      <c r="H46" s="697"/>
      <c r="I46" s="697"/>
      <c r="J46" s="697"/>
      <c r="K46" s="697"/>
      <c r="L46" s="697"/>
      <c r="M46" s="690"/>
      <c r="N46" s="605">
        <f>'RAB 2.1.1OKE'!R27</f>
        <v>15600000</v>
      </c>
      <c r="O46" s="605">
        <v>6500000</v>
      </c>
      <c r="P46" s="605"/>
      <c r="Q46" s="637"/>
    </row>
    <row r="47" spans="1:19" s="242" customFormat="1" ht="15" customHeight="1">
      <c r="A47" s="689">
        <v>2</v>
      </c>
      <c r="B47" s="691">
        <v>1</v>
      </c>
      <c r="C47" s="691">
        <v>2</v>
      </c>
      <c r="D47" s="691"/>
      <c r="E47" s="696" t="s">
        <v>84</v>
      </c>
      <c r="F47" s="697"/>
      <c r="G47" s="697"/>
      <c r="H47" s="697"/>
      <c r="I47" s="697"/>
      <c r="J47" s="697"/>
      <c r="K47" s="697"/>
      <c r="L47" s="697"/>
      <c r="M47" s="690"/>
      <c r="N47" s="608">
        <f>N48+N57</f>
        <v>92002500</v>
      </c>
      <c r="O47" s="608"/>
      <c r="P47" s="608"/>
      <c r="Q47" s="637" t="s">
        <v>573</v>
      </c>
      <c r="S47" s="311">
        <f>N47+N67+N75+N80+N85+N100+N107+N114+N132+N139+N146</f>
        <v>153285973</v>
      </c>
    </row>
    <row r="48" spans="1:19" s="242" customFormat="1" ht="15" customHeight="1">
      <c r="A48" s="689">
        <v>2</v>
      </c>
      <c r="B48" s="691">
        <v>1</v>
      </c>
      <c r="C48" s="691">
        <v>2</v>
      </c>
      <c r="D48" s="691">
        <v>2</v>
      </c>
      <c r="E48" s="696" t="s">
        <v>29</v>
      </c>
      <c r="F48" s="697"/>
      <c r="G48" s="697"/>
      <c r="H48" s="697"/>
      <c r="I48" s="697"/>
      <c r="J48" s="697"/>
      <c r="K48" s="697"/>
      <c r="L48" s="697"/>
      <c r="M48" s="690"/>
      <c r="N48" s="608">
        <f>SUM(N49:N56)</f>
        <v>72002500</v>
      </c>
      <c r="O48" s="608"/>
      <c r="P48" s="608"/>
      <c r="Q48" s="637"/>
    </row>
    <row r="49" spans="1:19" s="242" customFormat="1" ht="15" customHeight="1">
      <c r="A49" s="689"/>
      <c r="B49" s="691"/>
      <c r="C49" s="691"/>
      <c r="D49" s="691"/>
      <c r="E49" s="600" t="s">
        <v>14</v>
      </c>
      <c r="F49" s="759" t="s">
        <v>30</v>
      </c>
      <c r="G49" s="759"/>
      <c r="H49" s="759"/>
      <c r="I49" s="759"/>
      <c r="J49" s="759"/>
      <c r="K49" s="759"/>
      <c r="L49" s="759"/>
      <c r="M49" s="690"/>
      <c r="N49" s="605">
        <f>'RAB 2.1.2 OKE'!R16</f>
        <v>2307500</v>
      </c>
      <c r="O49" s="605"/>
      <c r="P49" s="605"/>
      <c r="Q49" s="637"/>
      <c r="S49" s="311">
        <f>S47-N92</f>
        <v>152869399</v>
      </c>
    </row>
    <row r="50" spans="1:19" s="242" customFormat="1" ht="15" customHeight="1">
      <c r="A50" s="689"/>
      <c r="B50" s="691"/>
      <c r="C50" s="691"/>
      <c r="D50" s="691"/>
      <c r="E50" s="600" t="s">
        <v>14</v>
      </c>
      <c r="F50" s="759" t="s">
        <v>195</v>
      </c>
      <c r="G50" s="759"/>
      <c r="H50" s="759"/>
      <c r="I50" s="759"/>
      <c r="J50" s="759"/>
      <c r="K50" s="759"/>
      <c r="L50" s="759"/>
      <c r="M50" s="690"/>
      <c r="N50" s="605">
        <f>'RAB 2.1.2 OKE'!R30</f>
        <v>1125000</v>
      </c>
      <c r="O50" s="605"/>
      <c r="P50" s="605"/>
      <c r="Q50" s="637"/>
    </row>
    <row r="51" spans="1:19" s="242" customFormat="1" ht="15" customHeight="1">
      <c r="A51" s="689"/>
      <c r="B51" s="691"/>
      <c r="C51" s="691"/>
      <c r="D51" s="691"/>
      <c r="E51" s="600" t="s">
        <v>14</v>
      </c>
      <c r="F51" s="697" t="s">
        <v>260</v>
      </c>
      <c r="G51" s="697"/>
      <c r="H51" s="697"/>
      <c r="I51" s="697"/>
      <c r="J51" s="697"/>
      <c r="K51" s="697"/>
      <c r="L51" s="697"/>
      <c r="M51" s="690"/>
      <c r="N51" s="605">
        <f>'RAB 2.1.2 OKE'!R38</f>
        <v>2450000</v>
      </c>
      <c r="O51" s="605"/>
      <c r="P51" s="605"/>
      <c r="Q51" s="637"/>
    </row>
    <row r="52" spans="1:19" s="242" customFormat="1" ht="15" customHeight="1">
      <c r="A52" s="689"/>
      <c r="B52" s="691"/>
      <c r="C52" s="691"/>
      <c r="D52" s="691"/>
      <c r="E52" s="600" t="s">
        <v>14</v>
      </c>
      <c r="F52" s="759" t="s">
        <v>151</v>
      </c>
      <c r="G52" s="759"/>
      <c r="H52" s="759"/>
      <c r="I52" s="759"/>
      <c r="J52" s="759"/>
      <c r="K52" s="759"/>
      <c r="L52" s="759"/>
      <c r="M52" s="690"/>
      <c r="N52" s="605">
        <f>'RAB 2.1.2 OKE'!R34</f>
        <v>405000</v>
      </c>
      <c r="O52" s="605"/>
      <c r="P52" s="605"/>
      <c r="Q52" s="638"/>
    </row>
    <row r="53" spans="1:19" s="242" customFormat="1" ht="15" customHeight="1">
      <c r="A53" s="689"/>
      <c r="B53" s="691"/>
      <c r="C53" s="691"/>
      <c r="D53" s="691"/>
      <c r="E53" s="600" t="s">
        <v>14</v>
      </c>
      <c r="F53" s="759" t="s">
        <v>40</v>
      </c>
      <c r="G53" s="759"/>
      <c r="H53" s="759"/>
      <c r="I53" s="759"/>
      <c r="J53" s="759"/>
      <c r="K53" s="759"/>
      <c r="L53" s="759"/>
      <c r="M53" s="690"/>
      <c r="N53" s="605">
        <f>'RAB 2.1.2 OKE'!R42</f>
        <v>35655000</v>
      </c>
      <c r="O53" s="605"/>
      <c r="P53" s="605"/>
      <c r="Q53" s="596"/>
    </row>
    <row r="54" spans="1:19" s="242" customFormat="1" ht="15" customHeight="1">
      <c r="A54" s="689"/>
      <c r="B54" s="691"/>
      <c r="C54" s="691"/>
      <c r="D54" s="691"/>
      <c r="E54" s="600" t="s">
        <v>14</v>
      </c>
      <c r="F54" s="697" t="str">
        <f>'RAB 2.1.2 OKE'!H60</f>
        <v>Belanja Listrik</v>
      </c>
      <c r="G54" s="697"/>
      <c r="H54" s="697"/>
      <c r="I54" s="697"/>
      <c r="J54" s="697"/>
      <c r="K54" s="697"/>
      <c r="L54" s="697"/>
      <c r="M54" s="690"/>
      <c r="N54" s="605">
        <f>'RAB 2.1.2 OKE'!R60</f>
        <v>660000</v>
      </c>
      <c r="O54" s="605"/>
      <c r="P54" s="605"/>
      <c r="Q54" s="596"/>
      <c r="S54" s="311">
        <f>N43+N76</f>
        <v>131213900</v>
      </c>
    </row>
    <row r="55" spans="1:19" s="242" customFormat="1" ht="15" customHeight="1">
      <c r="A55" s="689"/>
      <c r="B55" s="691"/>
      <c r="C55" s="691"/>
      <c r="D55" s="691"/>
      <c r="E55" s="600" t="s">
        <v>14</v>
      </c>
      <c r="F55" s="759" t="s">
        <v>152</v>
      </c>
      <c r="G55" s="759"/>
      <c r="H55" s="759"/>
      <c r="I55" s="759"/>
      <c r="J55" s="759"/>
      <c r="K55" s="759"/>
      <c r="L55" s="759"/>
      <c r="M55" s="690"/>
      <c r="N55" s="605">
        <f>'RAB 2.1.2 OKE'!R72</f>
        <v>600000</v>
      </c>
      <c r="O55" s="605"/>
      <c r="P55" s="605"/>
      <c r="Q55" s="637"/>
      <c r="S55" s="311">
        <f>N48+N68+N81+N86+N101+N115+N146</f>
        <v>113681649</v>
      </c>
    </row>
    <row r="56" spans="1:19" s="242" customFormat="1" ht="15" customHeight="1">
      <c r="A56" s="689"/>
      <c r="B56" s="691"/>
      <c r="C56" s="691"/>
      <c r="D56" s="691"/>
      <c r="E56" s="600" t="s">
        <v>14</v>
      </c>
      <c r="F56" s="759" t="s">
        <v>153</v>
      </c>
      <c r="G56" s="759"/>
      <c r="H56" s="759"/>
      <c r="I56" s="759"/>
      <c r="J56" s="759"/>
      <c r="K56" s="759"/>
      <c r="L56" s="759"/>
      <c r="M56" s="690"/>
      <c r="N56" s="605">
        <f>'RAB 2.1.2 OKE'!R75+'RAB 2.1.2 OKE'!R81</f>
        <v>28800000</v>
      </c>
      <c r="O56" s="605"/>
      <c r="P56" s="605"/>
      <c r="Q56" s="637"/>
      <c r="S56" s="311"/>
    </row>
    <row r="57" spans="1:19" s="242" customFormat="1" ht="15" customHeight="1">
      <c r="A57" s="689">
        <v>2</v>
      </c>
      <c r="B57" s="691">
        <v>1</v>
      </c>
      <c r="C57" s="691">
        <v>2</v>
      </c>
      <c r="D57" s="691">
        <v>3</v>
      </c>
      <c r="E57" s="696" t="s">
        <v>60</v>
      </c>
      <c r="F57" s="594"/>
      <c r="G57" s="594"/>
      <c r="H57" s="594"/>
      <c r="I57" s="594"/>
      <c r="J57" s="594"/>
      <c r="K57" s="594"/>
      <c r="L57" s="594"/>
      <c r="M57" s="690"/>
      <c r="N57" s="598">
        <f>N58</f>
        <v>20000000</v>
      </c>
      <c r="O57" s="598"/>
      <c r="P57" s="598"/>
      <c r="Q57" s="637" t="s">
        <v>479</v>
      </c>
      <c r="S57" s="311"/>
    </row>
    <row r="58" spans="1:19" s="242" customFormat="1" ht="15" customHeight="1">
      <c r="A58" s="689"/>
      <c r="B58" s="691"/>
      <c r="C58" s="691"/>
      <c r="D58" s="691"/>
      <c r="E58" s="600"/>
      <c r="F58" s="759" t="s">
        <v>567</v>
      </c>
      <c r="G58" s="759"/>
      <c r="H58" s="759"/>
      <c r="I58" s="759"/>
      <c r="J58" s="759"/>
      <c r="K58" s="759"/>
      <c r="L58" s="759"/>
      <c r="M58" s="690"/>
      <c r="N58" s="605">
        <f>'RAB 2.1.2 OKE'!R87</f>
        <v>20000000</v>
      </c>
      <c r="O58" s="605"/>
      <c r="P58" s="605"/>
      <c r="Q58" s="596"/>
    </row>
    <row r="59" spans="1:19" s="242" customFormat="1" ht="15" customHeight="1">
      <c r="A59" s="451"/>
      <c r="B59" s="451"/>
      <c r="C59" s="451"/>
      <c r="D59" s="451"/>
      <c r="E59" s="641"/>
      <c r="F59" s="616"/>
      <c r="G59" s="616"/>
      <c r="H59" s="616"/>
      <c r="I59" s="616"/>
      <c r="J59" s="616"/>
      <c r="K59" s="616"/>
      <c r="L59" s="616"/>
      <c r="M59" s="451"/>
      <c r="N59" s="642"/>
      <c r="O59" s="642"/>
      <c r="P59" s="642"/>
      <c r="Q59" s="650"/>
    </row>
    <row r="60" spans="1:19" s="242" customFormat="1" ht="15" customHeight="1">
      <c r="A60" s="286"/>
      <c r="B60" s="286"/>
      <c r="C60" s="286"/>
      <c r="D60" s="286"/>
      <c r="E60" s="644"/>
      <c r="F60" s="682"/>
      <c r="G60" s="682"/>
      <c r="H60" s="682"/>
      <c r="I60" s="682"/>
      <c r="J60" s="682"/>
      <c r="K60" s="682"/>
      <c r="L60" s="682"/>
      <c r="M60" s="286"/>
      <c r="N60" s="645"/>
      <c r="O60" s="645"/>
      <c r="P60" s="645"/>
      <c r="Q60" s="651"/>
    </row>
    <row r="61" spans="1:19" s="242" customFormat="1" ht="15" customHeight="1">
      <c r="A61" s="286"/>
      <c r="B61" s="286"/>
      <c r="C61" s="286"/>
      <c r="D61" s="286"/>
      <c r="E61" s="644"/>
      <c r="F61" s="682"/>
      <c r="G61" s="682"/>
      <c r="H61" s="682"/>
      <c r="I61" s="682"/>
      <c r="J61" s="682"/>
      <c r="K61" s="682"/>
      <c r="L61" s="682"/>
      <c r="M61" s="286"/>
      <c r="N61" s="645"/>
      <c r="O61" s="645"/>
      <c r="P61" s="645"/>
      <c r="Q61" s="651"/>
    </row>
    <row r="62" spans="1:19" s="242" customFormat="1" ht="15" customHeight="1">
      <c r="A62" s="286"/>
      <c r="B62" s="286"/>
      <c r="C62" s="286"/>
      <c r="D62" s="286"/>
      <c r="E62" s="644"/>
      <c r="F62" s="682"/>
      <c r="G62" s="682"/>
      <c r="H62" s="682"/>
      <c r="I62" s="682"/>
      <c r="J62" s="682"/>
      <c r="K62" s="682"/>
      <c r="L62" s="682"/>
      <c r="M62" s="286"/>
      <c r="N62" s="645"/>
      <c r="O62" s="645"/>
      <c r="P62" s="645"/>
      <c r="Q62" s="651"/>
    </row>
    <row r="63" spans="1:19" s="242" customFormat="1" ht="15" customHeight="1">
      <c r="A63" s="286"/>
      <c r="B63" s="286"/>
      <c r="C63" s="286"/>
      <c r="D63" s="286"/>
      <c r="E63" s="644"/>
      <c r="F63" s="682"/>
      <c r="G63" s="682"/>
      <c r="H63" s="682"/>
      <c r="I63" s="682"/>
      <c r="J63" s="682"/>
      <c r="K63" s="682"/>
      <c r="L63" s="682"/>
      <c r="M63" s="286"/>
      <c r="N63" s="645"/>
      <c r="O63" s="645"/>
      <c r="P63" s="645"/>
      <c r="Q63" s="651"/>
    </row>
    <row r="64" spans="1:19" s="242" customFormat="1" ht="15" customHeight="1">
      <c r="A64" s="286"/>
      <c r="B64" s="286"/>
      <c r="C64" s="286"/>
      <c r="D64" s="286"/>
      <c r="E64" s="644"/>
      <c r="F64" s="682"/>
      <c r="G64" s="682"/>
      <c r="H64" s="682"/>
      <c r="I64" s="682"/>
      <c r="J64" s="682"/>
      <c r="K64" s="682"/>
      <c r="L64" s="682"/>
      <c r="M64" s="286"/>
      <c r="N64" s="645"/>
      <c r="O64" s="645"/>
      <c r="P64" s="645"/>
      <c r="Q64" s="651"/>
    </row>
    <row r="65" spans="1:17" s="242" customFormat="1" ht="15" customHeight="1">
      <c r="A65" s="286"/>
      <c r="B65" s="286"/>
      <c r="C65" s="286"/>
      <c r="D65" s="286"/>
      <c r="E65" s="644"/>
      <c r="F65" s="682"/>
      <c r="G65" s="682"/>
      <c r="H65" s="682"/>
      <c r="I65" s="682"/>
      <c r="J65" s="682"/>
      <c r="K65" s="682"/>
      <c r="L65" s="682"/>
      <c r="M65" s="286"/>
      <c r="N65" s="645"/>
      <c r="O65" s="645"/>
      <c r="P65" s="645"/>
      <c r="Q65" s="651"/>
    </row>
    <row r="66" spans="1:17" s="242" customFormat="1" ht="15" customHeight="1">
      <c r="A66" s="670"/>
      <c r="B66" s="670"/>
      <c r="C66" s="670"/>
      <c r="D66" s="670"/>
      <c r="E66" s="647"/>
      <c r="F66" s="617"/>
      <c r="G66" s="617"/>
      <c r="H66" s="617"/>
      <c r="I66" s="617"/>
      <c r="J66" s="617"/>
      <c r="K66" s="617"/>
      <c r="L66" s="617"/>
      <c r="M66" s="670"/>
      <c r="N66" s="648"/>
      <c r="O66" s="648"/>
      <c r="P66" s="648"/>
      <c r="Q66" s="676"/>
    </row>
    <row r="67" spans="1:17" s="242" customFormat="1" ht="15" customHeight="1">
      <c r="A67" s="689">
        <v>2</v>
      </c>
      <c r="B67" s="691">
        <v>1</v>
      </c>
      <c r="C67" s="691">
        <v>3</v>
      </c>
      <c r="D67" s="691"/>
      <c r="E67" s="696" t="s">
        <v>85</v>
      </c>
      <c r="F67" s="697"/>
      <c r="G67" s="697"/>
      <c r="H67" s="697"/>
      <c r="I67" s="697"/>
      <c r="J67" s="697"/>
      <c r="K67" s="697"/>
      <c r="L67" s="697"/>
      <c r="M67" s="690"/>
      <c r="N67" s="598">
        <f>SUM(N68)</f>
        <v>3529500</v>
      </c>
      <c r="O67" s="598"/>
      <c r="P67" s="598"/>
      <c r="Q67" s="637" t="s">
        <v>288</v>
      </c>
    </row>
    <row r="68" spans="1:17" s="242" customFormat="1" ht="15" customHeight="1">
      <c r="A68" s="689">
        <v>2</v>
      </c>
      <c r="B68" s="691">
        <v>1</v>
      </c>
      <c r="C68" s="691">
        <v>3</v>
      </c>
      <c r="D68" s="691">
        <v>2</v>
      </c>
      <c r="E68" s="758" t="s">
        <v>29</v>
      </c>
      <c r="F68" s="759"/>
      <c r="G68" s="759"/>
      <c r="H68" s="759"/>
      <c r="I68" s="759"/>
      <c r="J68" s="759"/>
      <c r="K68" s="759"/>
      <c r="L68" s="759"/>
      <c r="M68" s="690"/>
      <c r="N68" s="598">
        <f>SUM(N69:N72)</f>
        <v>3529500</v>
      </c>
      <c r="O68" s="598"/>
      <c r="P68" s="598"/>
      <c r="Q68" s="636"/>
    </row>
    <row r="69" spans="1:17" s="242" customFormat="1" ht="15" customHeight="1">
      <c r="A69" s="689"/>
      <c r="B69" s="691"/>
      <c r="C69" s="691"/>
      <c r="D69" s="691"/>
      <c r="E69" s="600" t="s">
        <v>14</v>
      </c>
      <c r="F69" s="759" t="s">
        <v>171</v>
      </c>
      <c r="G69" s="759"/>
      <c r="H69" s="759"/>
      <c r="I69" s="759"/>
      <c r="J69" s="759"/>
      <c r="K69" s="759"/>
      <c r="L69" s="759"/>
      <c r="M69" s="690"/>
      <c r="N69" s="605">
        <f>'RAB 2.1.3  OKE'!O16</f>
        <v>2400000</v>
      </c>
      <c r="O69" s="605"/>
      <c r="P69" s="605"/>
      <c r="Q69" s="636"/>
    </row>
    <row r="70" spans="1:17" s="242" customFormat="1" ht="15" customHeight="1">
      <c r="A70" s="689"/>
      <c r="B70" s="691"/>
      <c r="C70" s="691"/>
      <c r="D70" s="691"/>
      <c r="E70" s="600" t="s">
        <v>14</v>
      </c>
      <c r="F70" s="759" t="s">
        <v>154</v>
      </c>
      <c r="G70" s="759"/>
      <c r="H70" s="759"/>
      <c r="I70" s="759"/>
      <c r="J70" s="759"/>
      <c r="K70" s="759"/>
      <c r="L70" s="759"/>
      <c r="M70" s="690"/>
      <c r="N70" s="605">
        <f>'RAB 2.1.3  OKE'!O22</f>
        <v>294500</v>
      </c>
      <c r="O70" s="605"/>
      <c r="P70" s="605"/>
      <c r="Q70" s="637"/>
    </row>
    <row r="71" spans="1:17" s="242" customFormat="1" ht="15" customHeight="1">
      <c r="A71" s="689"/>
      <c r="B71" s="691"/>
      <c r="C71" s="691"/>
      <c r="D71" s="691"/>
      <c r="E71" s="600" t="s">
        <v>14</v>
      </c>
      <c r="F71" s="759" t="s">
        <v>68</v>
      </c>
      <c r="G71" s="759"/>
      <c r="H71" s="759"/>
      <c r="I71" s="759"/>
      <c r="J71" s="759"/>
      <c r="K71" s="759"/>
      <c r="L71" s="759"/>
      <c r="M71" s="690"/>
      <c r="N71" s="605">
        <f>'RAB 2.1.3  OKE'!O33</f>
        <v>100000</v>
      </c>
      <c r="O71" s="605"/>
      <c r="P71" s="605"/>
      <c r="Q71" s="637"/>
    </row>
    <row r="72" spans="1:17" s="242" customFormat="1" ht="15" customHeight="1">
      <c r="A72" s="689"/>
      <c r="B72" s="691"/>
      <c r="C72" s="691"/>
      <c r="D72" s="691"/>
      <c r="E72" s="600" t="s">
        <v>14</v>
      </c>
      <c r="F72" s="759" t="s">
        <v>70</v>
      </c>
      <c r="G72" s="759"/>
      <c r="H72" s="759"/>
      <c r="I72" s="759"/>
      <c r="J72" s="759"/>
      <c r="K72" s="759"/>
      <c r="L72" s="759"/>
      <c r="M72" s="592"/>
      <c r="N72" s="605">
        <f>'RAB 2.1.3  OKE'!O29</f>
        <v>735000</v>
      </c>
      <c r="O72" s="605"/>
      <c r="P72" s="605"/>
      <c r="Q72" s="636"/>
    </row>
    <row r="73" spans="1:17" s="242" customFormat="1" ht="15" customHeight="1">
      <c r="A73" s="689"/>
      <c r="B73" s="691"/>
      <c r="C73" s="691"/>
      <c r="D73" s="691"/>
      <c r="E73" s="600" t="s">
        <v>14</v>
      </c>
      <c r="F73" s="759" t="s">
        <v>40</v>
      </c>
      <c r="G73" s="759"/>
      <c r="H73" s="759"/>
      <c r="I73" s="759"/>
      <c r="J73" s="759"/>
      <c r="K73" s="759"/>
      <c r="L73" s="759"/>
      <c r="M73" s="690"/>
      <c r="N73" s="605">
        <v>0</v>
      </c>
      <c r="O73" s="605"/>
      <c r="P73" s="605"/>
      <c r="Q73" s="637"/>
    </row>
    <row r="74" spans="1:17" s="242" customFormat="1" ht="15" customHeight="1">
      <c r="A74" s="689"/>
      <c r="B74" s="691"/>
      <c r="C74" s="691"/>
      <c r="D74" s="691"/>
      <c r="E74" s="600"/>
      <c r="F74" s="697"/>
      <c r="G74" s="697"/>
      <c r="H74" s="697"/>
      <c r="I74" s="697"/>
      <c r="J74" s="697"/>
      <c r="K74" s="697"/>
      <c r="L74" s="697"/>
      <c r="M74" s="690"/>
      <c r="N74" s="605"/>
      <c r="O74" s="605"/>
      <c r="P74" s="605"/>
      <c r="Q74" s="637"/>
    </row>
    <row r="75" spans="1:17" s="242" customFormat="1" ht="15" customHeight="1">
      <c r="A75" s="689">
        <v>2</v>
      </c>
      <c r="B75" s="691">
        <v>1</v>
      </c>
      <c r="C75" s="691">
        <v>4</v>
      </c>
      <c r="D75" s="691"/>
      <c r="E75" s="696" t="s">
        <v>227</v>
      </c>
      <c r="F75" s="697"/>
      <c r="G75" s="697"/>
      <c r="H75" s="697"/>
      <c r="I75" s="697"/>
      <c r="J75" s="697"/>
      <c r="K75" s="697"/>
      <c r="L75" s="697"/>
      <c r="M75" s="690"/>
      <c r="N75" s="598">
        <f>SUM(N76)</f>
        <v>13440000</v>
      </c>
      <c r="O75" s="598"/>
      <c r="P75" s="598"/>
      <c r="Q75" s="637" t="s">
        <v>288</v>
      </c>
    </row>
    <row r="76" spans="1:17" s="242" customFormat="1" ht="15" customHeight="1">
      <c r="A76" s="689">
        <v>2</v>
      </c>
      <c r="B76" s="691">
        <v>1</v>
      </c>
      <c r="C76" s="691">
        <v>4</v>
      </c>
      <c r="D76" s="691">
        <v>2</v>
      </c>
      <c r="E76" s="758" t="s">
        <v>29</v>
      </c>
      <c r="F76" s="759"/>
      <c r="G76" s="759"/>
      <c r="H76" s="759"/>
      <c r="I76" s="759"/>
      <c r="J76" s="759"/>
      <c r="K76" s="759"/>
      <c r="L76" s="759"/>
      <c r="M76" s="690"/>
      <c r="N76" s="598">
        <f>SUM(N78:N79)</f>
        <v>13440000</v>
      </c>
      <c r="O76" s="598"/>
      <c r="P76" s="598"/>
      <c r="Q76" s="637"/>
    </row>
    <row r="77" spans="1:17" s="242" customFormat="1" ht="15" customHeight="1">
      <c r="A77" s="689"/>
      <c r="B77" s="691"/>
      <c r="C77" s="691"/>
      <c r="D77" s="691"/>
      <c r="E77" s="600" t="s">
        <v>14</v>
      </c>
      <c r="F77" s="759" t="s">
        <v>268</v>
      </c>
      <c r="G77" s="759"/>
      <c r="H77" s="759"/>
      <c r="I77" s="759"/>
      <c r="J77" s="759"/>
      <c r="K77" s="759"/>
      <c r="L77" s="759"/>
      <c r="M77" s="690"/>
      <c r="N77" s="598"/>
      <c r="O77" s="598"/>
      <c r="P77" s="598"/>
      <c r="Q77" s="637"/>
    </row>
    <row r="78" spans="1:17" s="242" customFormat="1" ht="15" customHeight="1">
      <c r="A78" s="689"/>
      <c r="B78" s="691"/>
      <c r="C78" s="691"/>
      <c r="D78" s="691"/>
      <c r="E78" s="600"/>
      <c r="F78" s="767" t="s">
        <v>263</v>
      </c>
      <c r="G78" s="759"/>
      <c r="H78" s="759"/>
      <c r="I78" s="759"/>
      <c r="J78" s="759"/>
      <c r="K78" s="759"/>
      <c r="L78" s="759"/>
      <c r="M78" s="690"/>
      <c r="N78" s="605">
        <f>'RAB 2.1.4  OKE'!O17</f>
        <v>4800000</v>
      </c>
      <c r="O78" s="605"/>
      <c r="P78" s="605"/>
      <c r="Q78" s="637"/>
    </row>
    <row r="79" spans="1:17" s="242" customFormat="1" ht="15" customHeight="1">
      <c r="A79" s="689"/>
      <c r="B79" s="691"/>
      <c r="C79" s="691"/>
      <c r="D79" s="691"/>
      <c r="E79" s="600"/>
      <c r="F79" s="708" t="s">
        <v>264</v>
      </c>
      <c r="G79" s="697"/>
      <c r="H79" s="697"/>
      <c r="I79" s="697"/>
      <c r="J79" s="697"/>
      <c r="K79" s="697"/>
      <c r="L79" s="697"/>
      <c r="M79" s="690"/>
      <c r="N79" s="605">
        <f>'RAB 2.1.4  OKE'!O18</f>
        <v>8640000</v>
      </c>
      <c r="O79" s="605"/>
      <c r="P79" s="605"/>
      <c r="Q79" s="637"/>
    </row>
    <row r="80" spans="1:17" s="242" customFormat="1" ht="15" customHeight="1">
      <c r="A80" s="689">
        <v>2</v>
      </c>
      <c r="B80" s="691">
        <v>1</v>
      </c>
      <c r="C80" s="691">
        <v>5</v>
      </c>
      <c r="D80" s="691"/>
      <c r="E80" s="593" t="s">
        <v>283</v>
      </c>
      <c r="F80" s="594"/>
      <c r="G80" s="594"/>
      <c r="H80" s="427"/>
      <c r="I80" s="427"/>
      <c r="J80" s="427"/>
      <c r="K80" s="427"/>
      <c r="L80" s="427"/>
      <c r="M80" s="690"/>
      <c r="N80" s="598">
        <f>SUM(N81)</f>
        <v>10913649</v>
      </c>
      <c r="O80" s="598"/>
      <c r="P80" s="598"/>
      <c r="Q80" s="637" t="s">
        <v>289</v>
      </c>
    </row>
    <row r="81" spans="1:19" s="242" customFormat="1" ht="15" customHeight="1">
      <c r="A81" s="689">
        <v>2</v>
      </c>
      <c r="B81" s="691">
        <v>1</v>
      </c>
      <c r="C81" s="691">
        <v>5</v>
      </c>
      <c r="D81" s="691">
        <v>2</v>
      </c>
      <c r="E81" s="758" t="s">
        <v>29</v>
      </c>
      <c r="F81" s="759"/>
      <c r="G81" s="759"/>
      <c r="H81" s="427"/>
      <c r="I81" s="427"/>
      <c r="J81" s="427"/>
      <c r="K81" s="427"/>
      <c r="L81" s="697"/>
      <c r="M81" s="606"/>
      <c r="N81" s="598">
        <f>SUM(N82:N82)+N83</f>
        <v>10913649</v>
      </c>
      <c r="O81" s="598"/>
      <c r="P81" s="598"/>
      <c r="Q81" s="637"/>
    </row>
    <row r="82" spans="1:19" s="242" customFormat="1" ht="15" customHeight="1">
      <c r="A82" s="689"/>
      <c r="B82" s="691"/>
      <c r="C82" s="691"/>
      <c r="D82" s="691"/>
      <c r="E82" s="600" t="s">
        <v>14</v>
      </c>
      <c r="F82" s="759" t="s">
        <v>215</v>
      </c>
      <c r="G82" s="759"/>
      <c r="H82" s="706"/>
      <c r="I82" s="427"/>
      <c r="J82" s="427"/>
      <c r="K82" s="427"/>
      <c r="L82" s="427"/>
      <c r="M82" s="690"/>
      <c r="N82" s="605">
        <f>'RAB 2.1.5 OKE '!P17</f>
        <v>10913649</v>
      </c>
      <c r="O82" s="605"/>
      <c r="P82" s="605"/>
      <c r="Q82" s="637"/>
    </row>
    <row r="83" spans="1:19" s="242" customFormat="1" ht="15" customHeight="1">
      <c r="A83" s="689"/>
      <c r="B83" s="691"/>
      <c r="C83" s="691"/>
      <c r="D83" s="691"/>
      <c r="E83" s="600" t="s">
        <v>14</v>
      </c>
      <c r="F83" s="697" t="s">
        <v>269</v>
      </c>
      <c r="G83" s="697"/>
      <c r="H83" s="706"/>
      <c r="I83" s="427"/>
      <c r="J83" s="427"/>
      <c r="K83" s="427"/>
      <c r="L83" s="427"/>
      <c r="M83" s="690"/>
      <c r="N83" s="605">
        <f>'RAB 2.1.5 OKE '!P19</f>
        <v>0</v>
      </c>
      <c r="O83" s="605"/>
      <c r="P83" s="605"/>
      <c r="Q83" s="637"/>
    </row>
    <row r="84" spans="1:19" s="242" customFormat="1" ht="15" customHeight="1">
      <c r="A84" s="689"/>
      <c r="B84" s="691"/>
      <c r="C84" s="691"/>
      <c r="D84" s="691"/>
      <c r="E84" s="600"/>
      <c r="F84" s="697"/>
      <c r="G84" s="697"/>
      <c r="H84" s="706"/>
      <c r="I84" s="427"/>
      <c r="J84" s="427"/>
      <c r="K84" s="427"/>
      <c r="L84" s="427"/>
      <c r="M84" s="690"/>
      <c r="N84" s="605"/>
      <c r="O84" s="605"/>
      <c r="P84" s="605"/>
      <c r="Q84" s="637"/>
    </row>
    <row r="85" spans="1:19" s="242" customFormat="1" ht="15" customHeight="1">
      <c r="A85" s="689">
        <v>2</v>
      </c>
      <c r="B85" s="691">
        <v>1</v>
      </c>
      <c r="C85" s="691">
        <v>8</v>
      </c>
      <c r="D85" s="691"/>
      <c r="E85" s="593" t="s">
        <v>433</v>
      </c>
      <c r="F85" s="594"/>
      <c r="G85" s="594"/>
      <c r="H85" s="427"/>
      <c r="I85" s="427"/>
      <c r="J85" s="427"/>
      <c r="K85" s="427"/>
      <c r="L85" s="427"/>
      <c r="M85" s="690"/>
      <c r="N85" s="598">
        <f>N86+N92</f>
        <v>11614574</v>
      </c>
      <c r="O85" s="598">
        <f>O86</f>
        <v>11198000</v>
      </c>
      <c r="P85" s="598"/>
      <c r="Q85" s="637" t="s">
        <v>288</v>
      </c>
    </row>
    <row r="86" spans="1:19" s="242" customFormat="1" ht="15" customHeight="1">
      <c r="A86" s="689">
        <v>2</v>
      </c>
      <c r="B86" s="691">
        <v>1</v>
      </c>
      <c r="C86" s="691">
        <v>8</v>
      </c>
      <c r="D86" s="691">
        <v>2</v>
      </c>
      <c r="E86" s="758" t="s">
        <v>29</v>
      </c>
      <c r="F86" s="759"/>
      <c r="G86" s="759"/>
      <c r="H86" s="427"/>
      <c r="I86" s="427"/>
      <c r="J86" s="427"/>
      <c r="K86" s="427"/>
      <c r="L86" s="697"/>
      <c r="M86" s="606"/>
      <c r="N86" s="598">
        <f>SUM(N87:N90)</f>
        <v>11198000</v>
      </c>
      <c r="O86" s="598">
        <f>SUM(O87:O90)</f>
        <v>11198000</v>
      </c>
      <c r="P86" s="598"/>
      <c r="Q86" s="637"/>
    </row>
    <row r="87" spans="1:19" s="242" customFormat="1" ht="15" customHeight="1">
      <c r="A87" s="689"/>
      <c r="B87" s="691"/>
      <c r="C87" s="691"/>
      <c r="D87" s="691"/>
      <c r="E87" s="600" t="s">
        <v>14</v>
      </c>
      <c r="F87" s="759" t="str">
        <f>'RAB 2.1.8'!I17</f>
        <v>Honor Pendata</v>
      </c>
      <c r="G87" s="759"/>
      <c r="H87" s="706"/>
      <c r="I87" s="427"/>
      <c r="J87" s="427"/>
      <c r="K87" s="427"/>
      <c r="L87" s="427"/>
      <c r="M87" s="690"/>
      <c r="N87" s="605">
        <f>'RAB 2.1.8'!S18</f>
        <v>5000000</v>
      </c>
      <c r="O87" s="605">
        <f>N87</f>
        <v>5000000</v>
      </c>
      <c r="P87" s="605"/>
      <c r="Q87" s="637"/>
    </row>
    <row r="88" spans="1:19" s="242" customFormat="1" ht="15" customHeight="1">
      <c r="A88" s="689"/>
      <c r="B88" s="691"/>
      <c r="C88" s="691"/>
      <c r="D88" s="691"/>
      <c r="E88" s="600" t="s">
        <v>14</v>
      </c>
      <c r="F88" s="697" t="str">
        <f>'RAB 2.1.8'!I19</f>
        <v>- Operator</v>
      </c>
      <c r="G88" s="697"/>
      <c r="H88" s="706"/>
      <c r="I88" s="427"/>
      <c r="J88" s="427"/>
      <c r="K88" s="427"/>
      <c r="L88" s="427"/>
      <c r="M88" s="690"/>
      <c r="N88" s="605">
        <f>'RAB 2.1.8'!S19</f>
        <v>3000000</v>
      </c>
      <c r="O88" s="605">
        <f>N88</f>
        <v>3000000</v>
      </c>
      <c r="P88" s="605"/>
      <c r="Q88" s="637"/>
    </row>
    <row r="89" spans="1:19" s="242" customFormat="1" ht="15" customHeight="1">
      <c r="A89" s="689"/>
      <c r="B89" s="691"/>
      <c r="C89" s="691"/>
      <c r="D89" s="691"/>
      <c r="E89" s="600" t="s">
        <v>14</v>
      </c>
      <c r="F89" s="697" t="s">
        <v>269</v>
      </c>
      <c r="G89" s="697"/>
      <c r="H89" s="706"/>
      <c r="I89" s="427"/>
      <c r="J89" s="427"/>
      <c r="K89" s="427"/>
      <c r="L89" s="427"/>
      <c r="M89" s="690"/>
      <c r="N89" s="605">
        <f>'RAB 2.1.8'!S21</f>
        <v>48000</v>
      </c>
      <c r="O89" s="605">
        <f>N89</f>
        <v>48000</v>
      </c>
      <c r="P89" s="605"/>
      <c r="Q89" s="637"/>
    </row>
    <row r="90" spans="1:19" s="242" customFormat="1" ht="15" customHeight="1">
      <c r="A90" s="689"/>
      <c r="B90" s="691"/>
      <c r="C90" s="691"/>
      <c r="D90" s="691"/>
      <c r="E90" s="600" t="s">
        <v>14</v>
      </c>
      <c r="F90" s="697" t="str">
        <f>'RAB 2.1.8'!I25</f>
        <v>Penggandaan</v>
      </c>
      <c r="G90" s="697"/>
      <c r="H90" s="706"/>
      <c r="I90" s="427"/>
      <c r="J90" s="427"/>
      <c r="K90" s="427"/>
      <c r="L90" s="427"/>
      <c r="M90" s="690"/>
      <c r="N90" s="605">
        <f>'RAB 2.1.8'!S25</f>
        <v>3150000</v>
      </c>
      <c r="O90" s="605">
        <f>N90</f>
        <v>3150000</v>
      </c>
      <c r="P90" s="605"/>
      <c r="Q90" s="637"/>
    </row>
    <row r="91" spans="1:19" s="242" customFormat="1" ht="15" customHeight="1">
      <c r="A91" s="689"/>
      <c r="B91" s="691"/>
      <c r="C91" s="691"/>
      <c r="D91" s="691"/>
      <c r="E91" s="600"/>
      <c r="F91" s="697"/>
      <c r="G91" s="697"/>
      <c r="H91" s="706"/>
      <c r="I91" s="427"/>
      <c r="J91" s="427"/>
      <c r="K91" s="427"/>
      <c r="L91" s="427"/>
      <c r="M91" s="690"/>
      <c r="N91" s="605"/>
      <c r="O91" s="605"/>
      <c r="P91" s="605"/>
      <c r="Q91" s="637"/>
    </row>
    <row r="92" spans="1:19" s="242" customFormat="1" ht="15" customHeight="1">
      <c r="A92" s="689">
        <v>2</v>
      </c>
      <c r="B92" s="691">
        <v>1</v>
      </c>
      <c r="C92" s="691">
        <v>8</v>
      </c>
      <c r="D92" s="691">
        <v>3</v>
      </c>
      <c r="E92" s="696" t="s">
        <v>60</v>
      </c>
      <c r="F92" s="697"/>
      <c r="G92" s="697"/>
      <c r="H92" s="706"/>
      <c r="I92" s="427"/>
      <c r="J92" s="427"/>
      <c r="K92" s="427"/>
      <c r="L92" s="427"/>
      <c r="M92" s="690"/>
      <c r="N92" s="598">
        <f>N93</f>
        <v>416574</v>
      </c>
      <c r="O92" s="598">
        <f>N92</f>
        <v>416574</v>
      </c>
      <c r="P92" s="598"/>
      <c r="Q92" s="637"/>
    </row>
    <row r="93" spans="1:19" s="242" customFormat="1" ht="15" customHeight="1">
      <c r="A93" s="689"/>
      <c r="B93" s="691"/>
      <c r="C93" s="691"/>
      <c r="D93" s="691"/>
      <c r="E93" s="600"/>
      <c r="F93" s="697" t="str">
        <f>'RAB 2.1.8'!I29</f>
        <v>- Modem + Kartu</v>
      </c>
      <c r="G93" s="697"/>
      <c r="H93" s="706"/>
      <c r="I93" s="427"/>
      <c r="J93" s="427"/>
      <c r="K93" s="427"/>
      <c r="L93" s="427"/>
      <c r="M93" s="690"/>
      <c r="N93" s="605">
        <f>'RAB 2.1.8'!S29</f>
        <v>416574</v>
      </c>
      <c r="O93" s="605">
        <f>N93</f>
        <v>416574</v>
      </c>
      <c r="P93" s="605"/>
      <c r="Q93" s="637"/>
    </row>
    <row r="94" spans="1:19" s="242" customFormat="1" ht="15" customHeight="1">
      <c r="A94" s="689"/>
      <c r="B94" s="691"/>
      <c r="C94" s="691"/>
      <c r="D94" s="691"/>
      <c r="E94" s="600"/>
      <c r="F94" s="697"/>
      <c r="G94" s="697"/>
      <c r="H94" s="706"/>
      <c r="I94" s="427"/>
      <c r="J94" s="427"/>
      <c r="K94" s="427"/>
      <c r="L94" s="427"/>
      <c r="M94" s="690"/>
      <c r="N94" s="605"/>
      <c r="O94" s="605"/>
      <c r="P94" s="605"/>
      <c r="Q94" s="637"/>
      <c r="S94" s="311">
        <f>N92+N95</f>
        <v>5416574</v>
      </c>
    </row>
    <row r="95" spans="1:19" s="242" customFormat="1" ht="15" customHeight="1">
      <c r="A95" s="689">
        <v>2</v>
      </c>
      <c r="B95" s="691">
        <v>1</v>
      </c>
      <c r="C95" s="691">
        <v>9</v>
      </c>
      <c r="D95" s="691"/>
      <c r="E95" s="593" t="s">
        <v>449</v>
      </c>
      <c r="F95" s="697"/>
      <c r="G95" s="697"/>
      <c r="H95" s="706"/>
      <c r="I95" s="427"/>
      <c r="J95" s="427"/>
      <c r="K95" s="427"/>
      <c r="L95" s="427"/>
      <c r="M95" s="690"/>
      <c r="N95" s="598">
        <f>N96</f>
        <v>5000000</v>
      </c>
      <c r="O95" s="598"/>
      <c r="P95" s="598"/>
      <c r="Q95" s="637" t="s">
        <v>288</v>
      </c>
    </row>
    <row r="96" spans="1:19" s="242" customFormat="1" ht="15" customHeight="1">
      <c r="A96" s="689">
        <v>2</v>
      </c>
      <c r="B96" s="691">
        <v>1</v>
      </c>
      <c r="C96" s="691">
        <v>9</v>
      </c>
      <c r="D96" s="691">
        <v>3</v>
      </c>
      <c r="E96" s="600" t="s">
        <v>14</v>
      </c>
      <c r="F96" s="697" t="s">
        <v>60</v>
      </c>
      <c r="G96" s="697"/>
      <c r="H96" s="706"/>
      <c r="I96" s="427"/>
      <c r="J96" s="427"/>
      <c r="K96" s="427"/>
      <c r="L96" s="427"/>
      <c r="M96" s="690"/>
      <c r="N96" s="605">
        <f>N97</f>
        <v>5000000</v>
      </c>
      <c r="O96" s="605"/>
      <c r="P96" s="605"/>
      <c r="Q96" s="637"/>
    </row>
    <row r="97" spans="1:17" s="242" customFormat="1" ht="15" customHeight="1">
      <c r="A97" s="689"/>
      <c r="B97" s="691"/>
      <c r="C97" s="691"/>
      <c r="D97" s="691"/>
      <c r="E97" s="600"/>
      <c r="F97" s="697" t="s">
        <v>500</v>
      </c>
      <c r="G97" s="697"/>
      <c r="H97" s="706"/>
      <c r="I97" s="427"/>
      <c r="J97" s="427"/>
      <c r="K97" s="427"/>
      <c r="L97" s="427"/>
      <c r="M97" s="690"/>
      <c r="N97" s="605">
        <f>'RAB 2.1.9 OKE '!P16</f>
        <v>5000000</v>
      </c>
      <c r="O97" s="605"/>
      <c r="P97" s="605"/>
      <c r="Q97" s="637"/>
    </row>
    <row r="98" spans="1:17" s="242" customFormat="1" ht="15" customHeight="1">
      <c r="A98" s="689"/>
      <c r="B98" s="691"/>
      <c r="C98" s="691"/>
      <c r="D98" s="691"/>
      <c r="E98" s="600"/>
      <c r="F98" s="697"/>
      <c r="G98" s="697"/>
      <c r="H98" s="706"/>
      <c r="I98" s="427"/>
      <c r="J98" s="427"/>
      <c r="K98" s="427"/>
      <c r="L98" s="427"/>
      <c r="M98" s="690"/>
      <c r="N98" s="605"/>
      <c r="O98" s="605"/>
      <c r="P98" s="605"/>
      <c r="Q98" s="637"/>
    </row>
    <row r="99" spans="1:17" s="242" customFormat="1" ht="15" customHeight="1">
      <c r="A99" s="689"/>
      <c r="B99" s="691"/>
      <c r="C99" s="691"/>
      <c r="D99" s="691"/>
      <c r="E99" s="600"/>
      <c r="F99" s="697"/>
      <c r="G99" s="697"/>
      <c r="H99" s="706"/>
      <c r="I99" s="427"/>
      <c r="J99" s="427"/>
      <c r="K99" s="427"/>
      <c r="L99" s="427"/>
      <c r="M99" s="690"/>
      <c r="N99" s="605"/>
      <c r="O99" s="605"/>
      <c r="P99" s="605"/>
      <c r="Q99" s="637"/>
    </row>
    <row r="100" spans="1:17" s="242" customFormat="1" ht="15" customHeight="1">
      <c r="A100" s="689">
        <v>2</v>
      </c>
      <c r="B100" s="691">
        <v>1</v>
      </c>
      <c r="C100" s="691">
        <v>10</v>
      </c>
      <c r="D100" s="691"/>
      <c r="E100" s="696" t="s">
        <v>205</v>
      </c>
      <c r="F100" s="697"/>
      <c r="G100" s="697"/>
      <c r="H100" s="427"/>
      <c r="I100" s="427"/>
      <c r="J100" s="427"/>
      <c r="K100" s="427"/>
      <c r="L100" s="427"/>
      <c r="M100" s="690"/>
      <c r="N100" s="598">
        <f>N101</f>
        <v>2976500</v>
      </c>
      <c r="O100" s="598"/>
      <c r="P100" s="598"/>
      <c r="Q100" s="637" t="s">
        <v>480</v>
      </c>
    </row>
    <row r="101" spans="1:17" s="242" customFormat="1" ht="15" customHeight="1">
      <c r="A101" s="689">
        <v>2</v>
      </c>
      <c r="B101" s="691">
        <v>1</v>
      </c>
      <c r="C101" s="691">
        <v>10</v>
      </c>
      <c r="D101" s="691">
        <v>2</v>
      </c>
      <c r="E101" s="758" t="s">
        <v>29</v>
      </c>
      <c r="F101" s="759"/>
      <c r="G101" s="759"/>
      <c r="H101" s="427"/>
      <c r="I101" s="427"/>
      <c r="J101" s="427"/>
      <c r="K101" s="427"/>
      <c r="L101" s="427"/>
      <c r="M101" s="690"/>
      <c r="N101" s="605">
        <f>SUM(N102:N105)</f>
        <v>2976500</v>
      </c>
      <c r="O101" s="605"/>
      <c r="P101" s="605"/>
      <c r="Q101" s="637"/>
    </row>
    <row r="102" spans="1:17" s="242" customFormat="1" ht="15" customHeight="1">
      <c r="A102" s="689"/>
      <c r="B102" s="691"/>
      <c r="C102" s="691"/>
      <c r="D102" s="691"/>
      <c r="E102" s="707" t="s">
        <v>14</v>
      </c>
      <c r="F102" s="697" t="s">
        <v>204</v>
      </c>
      <c r="G102" s="697"/>
      <c r="H102" s="427"/>
      <c r="I102" s="427"/>
      <c r="J102" s="427"/>
      <c r="K102" s="427"/>
      <c r="L102" s="427"/>
      <c r="M102" s="690"/>
      <c r="N102" s="605">
        <f>'RAB 2.1.10'!Q17</f>
        <v>1300000</v>
      </c>
      <c r="O102" s="605"/>
      <c r="P102" s="605"/>
      <c r="Q102" s="637"/>
    </row>
    <row r="103" spans="1:17" s="242" customFormat="1" ht="15" customHeight="1">
      <c r="A103" s="689"/>
      <c r="B103" s="691"/>
      <c r="C103" s="691"/>
      <c r="D103" s="691"/>
      <c r="E103" s="707" t="s">
        <v>14</v>
      </c>
      <c r="F103" s="697" t="s">
        <v>51</v>
      </c>
      <c r="G103" s="697"/>
      <c r="H103" s="427"/>
      <c r="I103" s="427"/>
      <c r="J103" s="427"/>
      <c r="K103" s="427"/>
      <c r="L103" s="427"/>
      <c r="M103" s="690"/>
      <c r="N103" s="605">
        <f>'RAB 2.1.10'!Q22</f>
        <v>1575000</v>
      </c>
      <c r="O103" s="605"/>
      <c r="P103" s="605"/>
      <c r="Q103" s="637"/>
    </row>
    <row r="104" spans="1:17" s="242" customFormat="1" ht="15" customHeight="1">
      <c r="A104" s="689"/>
      <c r="B104" s="691"/>
      <c r="C104" s="691"/>
      <c r="D104" s="691"/>
      <c r="E104" s="600" t="s">
        <v>14</v>
      </c>
      <c r="F104" s="759" t="s">
        <v>77</v>
      </c>
      <c r="G104" s="759"/>
      <c r="H104" s="427"/>
      <c r="I104" s="427"/>
      <c r="J104" s="427"/>
      <c r="K104" s="427"/>
      <c r="L104" s="427"/>
      <c r="M104" s="690"/>
      <c r="N104" s="605">
        <f>'RAB 2.1.10'!Q26</f>
        <v>86500</v>
      </c>
      <c r="O104" s="605"/>
      <c r="P104" s="605"/>
      <c r="Q104" s="637"/>
    </row>
    <row r="105" spans="1:17" s="242" customFormat="1" ht="15" customHeight="1">
      <c r="A105" s="689"/>
      <c r="B105" s="691"/>
      <c r="C105" s="691"/>
      <c r="D105" s="691"/>
      <c r="E105" s="600" t="s">
        <v>14</v>
      </c>
      <c r="F105" s="759" t="s">
        <v>178</v>
      </c>
      <c r="G105" s="759"/>
      <c r="H105" s="427"/>
      <c r="I105" s="427"/>
      <c r="J105" s="427"/>
      <c r="K105" s="427"/>
      <c r="L105" s="427"/>
      <c r="M105" s="690"/>
      <c r="N105" s="605">
        <f>'RAB 2.1.10'!Q31</f>
        <v>15000</v>
      </c>
      <c r="O105" s="605"/>
      <c r="P105" s="605"/>
      <c r="Q105" s="637"/>
    </row>
    <row r="106" spans="1:17" s="242" customFormat="1" ht="15" customHeight="1">
      <c r="A106" s="685"/>
      <c r="B106" s="513"/>
      <c r="C106" s="513"/>
      <c r="D106" s="513"/>
      <c r="E106" s="699"/>
      <c r="F106" s="700"/>
      <c r="G106" s="700"/>
      <c r="H106" s="686"/>
      <c r="I106" s="686"/>
      <c r="J106" s="686"/>
      <c r="K106" s="686"/>
      <c r="L106" s="686"/>
      <c r="M106" s="687"/>
      <c r="N106" s="598"/>
      <c r="O106" s="598"/>
      <c r="P106" s="598"/>
      <c r="Q106" s="637"/>
    </row>
    <row r="107" spans="1:17" s="242" customFormat="1" ht="15" customHeight="1">
      <c r="A107" s="689">
        <v>2</v>
      </c>
      <c r="B107" s="691">
        <v>1</v>
      </c>
      <c r="C107" s="691">
        <v>12</v>
      </c>
      <c r="D107" s="691"/>
      <c r="E107" s="696" t="s">
        <v>498</v>
      </c>
      <c r="F107" s="697"/>
      <c r="G107" s="697"/>
      <c r="H107" s="427"/>
      <c r="I107" s="427"/>
      <c r="J107" s="427"/>
      <c r="K107" s="427"/>
      <c r="L107" s="427"/>
      <c r="M107" s="690"/>
      <c r="N107" s="598">
        <f>N108</f>
        <v>2499000</v>
      </c>
      <c r="O107" s="598"/>
      <c r="P107" s="598"/>
      <c r="Q107" s="637" t="s">
        <v>484</v>
      </c>
    </row>
    <row r="108" spans="1:17" s="242" customFormat="1" ht="15" customHeight="1">
      <c r="A108" s="689">
        <v>2</v>
      </c>
      <c r="B108" s="691">
        <v>1</v>
      </c>
      <c r="C108" s="691">
        <v>12</v>
      </c>
      <c r="D108" s="691">
        <v>2</v>
      </c>
      <c r="E108" s="758" t="s">
        <v>29</v>
      </c>
      <c r="F108" s="759"/>
      <c r="G108" s="759"/>
      <c r="H108" s="427"/>
      <c r="I108" s="427"/>
      <c r="J108" s="427"/>
      <c r="K108" s="427"/>
      <c r="L108" s="427"/>
      <c r="M108" s="690"/>
      <c r="N108" s="598">
        <f>SUM(N109:N112)</f>
        <v>2499000</v>
      </c>
      <c r="O108" s="598"/>
      <c r="P108" s="598"/>
      <c r="Q108" s="637"/>
    </row>
    <row r="109" spans="1:17" s="242" customFormat="1" ht="15" customHeight="1">
      <c r="A109" s="689"/>
      <c r="B109" s="691"/>
      <c r="C109" s="691"/>
      <c r="D109" s="691"/>
      <c r="E109" s="707" t="s">
        <v>14</v>
      </c>
      <c r="F109" s="697" t="s">
        <v>204</v>
      </c>
      <c r="G109" s="697"/>
      <c r="H109" s="427"/>
      <c r="I109" s="427"/>
      <c r="J109" s="427"/>
      <c r="K109" s="427"/>
      <c r="L109" s="427"/>
      <c r="M109" s="690"/>
      <c r="N109" s="605">
        <f>'RAB 2.1.12'!Q17</f>
        <v>2275000</v>
      </c>
      <c r="O109" s="605"/>
      <c r="P109" s="605"/>
      <c r="Q109" s="637"/>
    </row>
    <row r="110" spans="1:17" s="242" customFormat="1" ht="15" customHeight="1">
      <c r="A110" s="689"/>
      <c r="B110" s="691"/>
      <c r="C110" s="691"/>
      <c r="D110" s="691"/>
      <c r="E110" s="707" t="s">
        <v>14</v>
      </c>
      <c r="F110" s="697" t="s">
        <v>51</v>
      </c>
      <c r="G110" s="697"/>
      <c r="H110" s="427"/>
      <c r="I110" s="427"/>
      <c r="J110" s="427"/>
      <c r="K110" s="427"/>
      <c r="L110" s="427"/>
      <c r="M110" s="690"/>
      <c r="N110" s="598">
        <v>0</v>
      </c>
      <c r="O110" s="598"/>
      <c r="P110" s="598"/>
      <c r="Q110" s="637"/>
    </row>
    <row r="111" spans="1:17" s="242" customFormat="1" ht="15" customHeight="1">
      <c r="A111" s="689"/>
      <c r="B111" s="691"/>
      <c r="C111" s="691"/>
      <c r="D111" s="691"/>
      <c r="E111" s="600" t="s">
        <v>14</v>
      </c>
      <c r="F111" s="759" t="s">
        <v>77</v>
      </c>
      <c r="G111" s="759"/>
      <c r="H111" s="427"/>
      <c r="I111" s="427"/>
      <c r="J111" s="427"/>
      <c r="K111" s="427"/>
      <c r="L111" s="427"/>
      <c r="M111" s="690"/>
      <c r="N111" s="605">
        <f>'RAB 2.1.12'!Q22</f>
        <v>124000</v>
      </c>
      <c r="O111" s="605"/>
      <c r="P111" s="605"/>
      <c r="Q111" s="637"/>
    </row>
    <row r="112" spans="1:17" s="242" customFormat="1" ht="15" customHeight="1">
      <c r="A112" s="689"/>
      <c r="B112" s="691"/>
      <c r="C112" s="691"/>
      <c r="D112" s="691"/>
      <c r="E112" s="600" t="s">
        <v>14</v>
      </c>
      <c r="F112" s="759" t="s">
        <v>178</v>
      </c>
      <c r="G112" s="759"/>
      <c r="H112" s="427"/>
      <c r="I112" s="427"/>
      <c r="J112" s="427"/>
      <c r="K112" s="427"/>
      <c r="L112" s="427"/>
      <c r="M112" s="690"/>
      <c r="N112" s="605">
        <f>'RAB 2.1.12'!Q27</f>
        <v>100000</v>
      </c>
      <c r="O112" s="605"/>
      <c r="P112" s="605"/>
      <c r="Q112" s="637"/>
    </row>
    <row r="113" spans="1:17" s="242" customFormat="1" ht="15" customHeight="1">
      <c r="A113" s="685"/>
      <c r="B113" s="513"/>
      <c r="C113" s="513"/>
      <c r="D113" s="513"/>
      <c r="E113" s="699"/>
      <c r="F113" s="700"/>
      <c r="G113" s="700"/>
      <c r="H113" s="686"/>
      <c r="I113" s="686"/>
      <c r="J113" s="686"/>
      <c r="K113" s="686"/>
      <c r="L113" s="686"/>
      <c r="M113" s="687"/>
      <c r="N113" s="598"/>
      <c r="O113" s="598"/>
      <c r="P113" s="598"/>
      <c r="Q113" s="637"/>
    </row>
    <row r="114" spans="1:17" s="242" customFormat="1" ht="15" customHeight="1">
      <c r="A114" s="689">
        <v>2</v>
      </c>
      <c r="B114" s="691">
        <v>1</v>
      </c>
      <c r="C114" s="691">
        <v>13</v>
      </c>
      <c r="D114" s="691"/>
      <c r="E114" s="696" t="s">
        <v>226</v>
      </c>
      <c r="F114" s="697"/>
      <c r="G114" s="697"/>
      <c r="H114" s="427"/>
      <c r="I114" s="427"/>
      <c r="J114" s="427"/>
      <c r="K114" s="427"/>
      <c r="L114" s="427"/>
      <c r="M114" s="690"/>
      <c r="N114" s="598">
        <f>N115</f>
        <v>3061500</v>
      </c>
      <c r="O114" s="598"/>
      <c r="P114" s="598"/>
      <c r="Q114" s="637" t="s">
        <v>480</v>
      </c>
    </row>
    <row r="115" spans="1:17" s="242" customFormat="1" ht="15" customHeight="1">
      <c r="A115" s="689">
        <v>2</v>
      </c>
      <c r="B115" s="691">
        <v>1</v>
      </c>
      <c r="C115" s="691">
        <v>13</v>
      </c>
      <c r="D115" s="691">
        <v>2</v>
      </c>
      <c r="E115" s="758" t="s">
        <v>29</v>
      </c>
      <c r="F115" s="759"/>
      <c r="G115" s="759"/>
      <c r="H115" s="427"/>
      <c r="I115" s="427"/>
      <c r="J115" s="427"/>
      <c r="K115" s="427"/>
      <c r="L115" s="427"/>
      <c r="M115" s="690"/>
      <c r="N115" s="605">
        <f>SUM(N116:N119)</f>
        <v>3061500</v>
      </c>
      <c r="O115" s="605"/>
      <c r="P115" s="605"/>
      <c r="Q115" s="637"/>
    </row>
    <row r="116" spans="1:17" s="242" customFormat="1" ht="15" customHeight="1">
      <c r="A116" s="689"/>
      <c r="B116" s="691"/>
      <c r="C116" s="691"/>
      <c r="D116" s="691"/>
      <c r="E116" s="707" t="s">
        <v>14</v>
      </c>
      <c r="F116" s="697" t="s">
        <v>204</v>
      </c>
      <c r="G116" s="697"/>
      <c r="H116" s="427"/>
      <c r="I116" s="427"/>
      <c r="J116" s="427"/>
      <c r="K116" s="427"/>
      <c r="L116" s="427"/>
      <c r="M116" s="690"/>
      <c r="N116" s="605">
        <f>'RAB 2.1.13'!Q17</f>
        <v>1550000</v>
      </c>
      <c r="O116" s="605"/>
      <c r="P116" s="605"/>
      <c r="Q116" s="637"/>
    </row>
    <row r="117" spans="1:17" s="242" customFormat="1" ht="15" customHeight="1">
      <c r="A117" s="689"/>
      <c r="B117" s="691"/>
      <c r="C117" s="691"/>
      <c r="D117" s="691"/>
      <c r="E117" s="707" t="s">
        <v>14</v>
      </c>
      <c r="F117" s="697" t="s">
        <v>51</v>
      </c>
      <c r="G117" s="697"/>
      <c r="H117" s="427"/>
      <c r="I117" s="427"/>
      <c r="J117" s="427"/>
      <c r="K117" s="427"/>
      <c r="L117" s="427"/>
      <c r="M117" s="690"/>
      <c r="N117" s="605">
        <f>'RAB 2.1.13'!Q22</f>
        <v>1225000</v>
      </c>
      <c r="O117" s="605"/>
      <c r="P117" s="605"/>
      <c r="Q117" s="637"/>
    </row>
    <row r="118" spans="1:17" s="242" customFormat="1" ht="15" customHeight="1">
      <c r="A118" s="689"/>
      <c r="B118" s="691"/>
      <c r="C118" s="691"/>
      <c r="D118" s="691"/>
      <c r="E118" s="600" t="s">
        <v>14</v>
      </c>
      <c r="F118" s="759" t="s">
        <v>77</v>
      </c>
      <c r="G118" s="759"/>
      <c r="H118" s="427"/>
      <c r="I118" s="427"/>
      <c r="J118" s="427"/>
      <c r="K118" s="427"/>
      <c r="L118" s="427"/>
      <c r="M118" s="690"/>
      <c r="N118" s="605">
        <f>'RAB 2.1.13'!Q26</f>
        <v>86500</v>
      </c>
      <c r="O118" s="605"/>
      <c r="P118" s="605"/>
      <c r="Q118" s="637"/>
    </row>
    <row r="119" spans="1:17" s="242" customFormat="1" ht="15" customHeight="1">
      <c r="A119" s="689"/>
      <c r="B119" s="691"/>
      <c r="C119" s="691"/>
      <c r="D119" s="691"/>
      <c r="E119" s="600" t="s">
        <v>14</v>
      </c>
      <c r="F119" s="759" t="s">
        <v>178</v>
      </c>
      <c r="G119" s="759"/>
      <c r="H119" s="427"/>
      <c r="I119" s="427"/>
      <c r="J119" s="427"/>
      <c r="K119" s="427"/>
      <c r="L119" s="427"/>
      <c r="M119" s="690"/>
      <c r="N119" s="605">
        <f>'RAB 2.1.13'!Q31</f>
        <v>200000</v>
      </c>
      <c r="O119" s="605"/>
      <c r="P119" s="605"/>
      <c r="Q119" s="637"/>
    </row>
    <row r="120" spans="1:17" s="242" customFormat="1" ht="15" customHeight="1">
      <c r="A120" s="451"/>
      <c r="B120" s="451"/>
      <c r="C120" s="451"/>
      <c r="D120" s="451"/>
      <c r="E120" s="641"/>
      <c r="F120" s="616"/>
      <c r="G120" s="616"/>
      <c r="H120" s="451"/>
      <c r="I120" s="451"/>
      <c r="J120" s="451"/>
      <c r="K120" s="451"/>
      <c r="L120" s="451"/>
      <c r="M120" s="451"/>
      <c r="N120" s="642"/>
      <c r="O120" s="642"/>
      <c r="P120" s="642"/>
      <c r="Q120" s="643"/>
    </row>
    <row r="121" spans="1:17" s="242" customFormat="1" ht="15" customHeight="1">
      <c r="A121" s="286"/>
      <c r="B121" s="286"/>
      <c r="C121" s="286"/>
      <c r="D121" s="286"/>
      <c r="E121" s="644"/>
      <c r="F121" s="682"/>
      <c r="G121" s="682"/>
      <c r="H121" s="286"/>
      <c r="I121" s="286"/>
      <c r="J121" s="286"/>
      <c r="K121" s="286"/>
      <c r="L121" s="286"/>
      <c r="M121" s="286"/>
      <c r="N121" s="645"/>
      <c r="O121" s="645"/>
      <c r="P121" s="645"/>
      <c r="Q121" s="646"/>
    </row>
    <row r="122" spans="1:17" s="242" customFormat="1" ht="15" customHeight="1">
      <c r="A122" s="286"/>
      <c r="B122" s="286"/>
      <c r="C122" s="286"/>
      <c r="D122" s="286"/>
      <c r="E122" s="644"/>
      <c r="F122" s="682"/>
      <c r="G122" s="682"/>
      <c r="H122" s="286"/>
      <c r="I122" s="286"/>
      <c r="J122" s="286"/>
      <c r="K122" s="286"/>
      <c r="L122" s="286"/>
      <c r="M122" s="286"/>
      <c r="N122" s="645"/>
      <c r="O122" s="645"/>
      <c r="P122" s="645"/>
      <c r="Q122" s="646"/>
    </row>
    <row r="123" spans="1:17" s="242" customFormat="1" ht="15" customHeight="1">
      <c r="A123" s="286"/>
      <c r="B123" s="286"/>
      <c r="C123" s="286"/>
      <c r="D123" s="286"/>
      <c r="E123" s="644"/>
      <c r="F123" s="682"/>
      <c r="G123" s="682"/>
      <c r="H123" s="286"/>
      <c r="I123" s="286"/>
      <c r="J123" s="286"/>
      <c r="K123" s="286"/>
      <c r="L123" s="286"/>
      <c r="M123" s="286"/>
      <c r="N123" s="645"/>
      <c r="O123" s="645"/>
      <c r="P123" s="645"/>
      <c r="Q123" s="646"/>
    </row>
    <row r="124" spans="1:17" s="242" customFormat="1" ht="15" customHeight="1">
      <c r="A124" s="286"/>
      <c r="B124" s="286"/>
      <c r="C124" s="286"/>
      <c r="D124" s="286"/>
      <c r="E124" s="644"/>
      <c r="F124" s="682"/>
      <c r="G124" s="682"/>
      <c r="H124" s="286"/>
      <c r="I124" s="286"/>
      <c r="J124" s="286"/>
      <c r="K124" s="286"/>
      <c r="L124" s="286"/>
      <c r="M124" s="286"/>
      <c r="N124" s="645"/>
      <c r="O124" s="645"/>
      <c r="P124" s="645"/>
      <c r="Q124" s="646"/>
    </row>
    <row r="125" spans="1:17" s="242" customFormat="1" ht="15" customHeight="1">
      <c r="A125" s="286"/>
      <c r="B125" s="286"/>
      <c r="C125" s="286"/>
      <c r="D125" s="286"/>
      <c r="E125" s="644"/>
      <c r="F125" s="682"/>
      <c r="G125" s="682"/>
      <c r="H125" s="286"/>
      <c r="I125" s="286"/>
      <c r="J125" s="286"/>
      <c r="K125" s="286"/>
      <c r="L125" s="286"/>
      <c r="M125" s="286"/>
      <c r="N125" s="645"/>
      <c r="O125" s="645"/>
      <c r="P125" s="645"/>
      <c r="Q125" s="646"/>
    </row>
    <row r="126" spans="1:17" s="242" customFormat="1" ht="15" customHeight="1">
      <c r="A126" s="286"/>
      <c r="B126" s="286"/>
      <c r="C126" s="286"/>
      <c r="D126" s="286"/>
      <c r="E126" s="644"/>
      <c r="F126" s="682"/>
      <c r="G126" s="682"/>
      <c r="H126" s="286"/>
      <c r="I126" s="286"/>
      <c r="J126" s="286"/>
      <c r="K126" s="286"/>
      <c r="L126" s="286"/>
      <c r="M126" s="286"/>
      <c r="N126" s="645"/>
      <c r="O126" s="645"/>
      <c r="P126" s="645"/>
      <c r="Q126" s="646"/>
    </row>
    <row r="127" spans="1:17" s="242" customFormat="1" ht="15" customHeight="1">
      <c r="A127" s="286"/>
      <c r="B127" s="286"/>
      <c r="C127" s="286"/>
      <c r="D127" s="286"/>
      <c r="E127" s="644"/>
      <c r="F127" s="682"/>
      <c r="G127" s="682"/>
      <c r="H127" s="286"/>
      <c r="I127" s="286"/>
      <c r="J127" s="286"/>
      <c r="K127" s="286"/>
      <c r="L127" s="286"/>
      <c r="M127" s="286"/>
      <c r="N127" s="645"/>
      <c r="O127" s="645"/>
      <c r="P127" s="645"/>
      <c r="Q127" s="646"/>
    </row>
    <row r="128" spans="1:17" s="242" customFormat="1" ht="15" customHeight="1">
      <c r="A128" s="286"/>
      <c r="B128" s="286"/>
      <c r="C128" s="286"/>
      <c r="D128" s="286"/>
      <c r="E128" s="644"/>
      <c r="F128" s="682"/>
      <c r="G128" s="682"/>
      <c r="H128" s="286"/>
      <c r="I128" s="286"/>
      <c r="J128" s="286"/>
      <c r="K128" s="286"/>
      <c r="L128" s="286"/>
      <c r="M128" s="286"/>
      <c r="N128" s="645"/>
      <c r="O128" s="645"/>
      <c r="P128" s="645"/>
      <c r="Q128" s="646"/>
    </row>
    <row r="129" spans="1:17" s="242" customFormat="1" ht="15" customHeight="1">
      <c r="A129" s="286"/>
      <c r="B129" s="286"/>
      <c r="C129" s="286"/>
      <c r="D129" s="286"/>
      <c r="E129" s="644"/>
      <c r="F129" s="682"/>
      <c r="G129" s="682"/>
      <c r="H129" s="286"/>
      <c r="I129" s="286"/>
      <c r="J129" s="286"/>
      <c r="K129" s="286"/>
      <c r="L129" s="286"/>
      <c r="M129" s="286"/>
      <c r="N129" s="645"/>
      <c r="O129" s="645"/>
      <c r="P129" s="645"/>
      <c r="Q129" s="646"/>
    </row>
    <row r="130" spans="1:17" s="242" customFormat="1" ht="15" customHeight="1">
      <c r="A130" s="286"/>
      <c r="B130" s="286"/>
      <c r="C130" s="286"/>
      <c r="D130" s="286"/>
      <c r="E130" s="644"/>
      <c r="F130" s="682"/>
      <c r="G130" s="682"/>
      <c r="H130" s="286"/>
      <c r="I130" s="286"/>
      <c r="J130" s="286"/>
      <c r="K130" s="286"/>
      <c r="L130" s="286"/>
      <c r="M130" s="286"/>
      <c r="N130" s="645"/>
      <c r="O130" s="645"/>
      <c r="P130" s="645"/>
      <c r="Q130" s="646"/>
    </row>
    <row r="131" spans="1:17" s="242" customFormat="1" ht="15" customHeight="1">
      <c r="A131" s="670"/>
      <c r="B131" s="670"/>
      <c r="C131" s="670"/>
      <c r="D131" s="670"/>
      <c r="E131" s="647"/>
      <c r="F131" s="617"/>
      <c r="G131" s="617"/>
      <c r="H131" s="670"/>
      <c r="I131" s="670"/>
      <c r="J131" s="670"/>
      <c r="K131" s="670"/>
      <c r="L131" s="670"/>
      <c r="M131" s="670"/>
      <c r="N131" s="648"/>
      <c r="O131" s="648"/>
      <c r="P131" s="648"/>
      <c r="Q131" s="649"/>
    </row>
    <row r="132" spans="1:17" s="242" customFormat="1" ht="15" customHeight="1">
      <c r="A132" s="689">
        <v>2</v>
      </c>
      <c r="B132" s="691">
        <v>1</v>
      </c>
      <c r="C132" s="691">
        <v>14</v>
      </c>
      <c r="D132" s="691"/>
      <c r="E132" s="696" t="s">
        <v>499</v>
      </c>
      <c r="F132" s="697"/>
      <c r="G132" s="697"/>
      <c r="H132" s="427"/>
      <c r="I132" s="427"/>
      <c r="J132" s="427"/>
      <c r="K132" s="427"/>
      <c r="L132" s="427"/>
      <c r="M132" s="690"/>
      <c r="N132" s="598">
        <f>N133</f>
        <v>2015000</v>
      </c>
      <c r="O132" s="598"/>
      <c r="P132" s="598"/>
      <c r="Q132" s="637" t="s">
        <v>484</v>
      </c>
    </row>
    <row r="133" spans="1:17" s="242" customFormat="1" ht="15" customHeight="1">
      <c r="A133" s="689">
        <v>2</v>
      </c>
      <c r="B133" s="691">
        <v>1</v>
      </c>
      <c r="C133" s="691">
        <v>14</v>
      </c>
      <c r="D133" s="691">
        <v>2</v>
      </c>
      <c r="E133" s="758" t="s">
        <v>29</v>
      </c>
      <c r="F133" s="759"/>
      <c r="G133" s="759"/>
      <c r="H133" s="427"/>
      <c r="I133" s="427"/>
      <c r="J133" s="427"/>
      <c r="K133" s="427"/>
      <c r="L133" s="427"/>
      <c r="M133" s="690"/>
      <c r="N133" s="605">
        <f>SUM(N134:N137)</f>
        <v>2015000</v>
      </c>
      <c r="O133" s="605"/>
      <c r="P133" s="605"/>
      <c r="Q133" s="637"/>
    </row>
    <row r="134" spans="1:17" s="242" customFormat="1" ht="15" customHeight="1">
      <c r="A134" s="689"/>
      <c r="B134" s="691"/>
      <c r="C134" s="691"/>
      <c r="D134" s="691"/>
      <c r="E134" s="707" t="s">
        <v>14</v>
      </c>
      <c r="F134" s="697" t="s">
        <v>204</v>
      </c>
      <c r="G134" s="697"/>
      <c r="H134" s="427"/>
      <c r="I134" s="427"/>
      <c r="J134" s="427"/>
      <c r="K134" s="427"/>
      <c r="L134" s="427"/>
      <c r="M134" s="690"/>
      <c r="N134" s="605">
        <f>'RAB 2.1.14 '!Q17</f>
        <v>1050000</v>
      </c>
      <c r="O134" s="605"/>
      <c r="P134" s="605"/>
      <c r="Q134" s="637"/>
    </row>
    <row r="135" spans="1:17" s="242" customFormat="1" ht="15" customHeight="1">
      <c r="A135" s="689"/>
      <c r="B135" s="691"/>
      <c r="C135" s="691"/>
      <c r="D135" s="691"/>
      <c r="E135" s="707" t="s">
        <v>14</v>
      </c>
      <c r="F135" s="697" t="s">
        <v>51</v>
      </c>
      <c r="G135" s="697"/>
      <c r="H135" s="427"/>
      <c r="I135" s="427"/>
      <c r="J135" s="427"/>
      <c r="K135" s="427"/>
      <c r="L135" s="427"/>
      <c r="M135" s="690"/>
      <c r="N135" s="605">
        <v>0</v>
      </c>
      <c r="O135" s="605"/>
      <c r="P135" s="605"/>
      <c r="Q135" s="637"/>
    </row>
    <row r="136" spans="1:17" s="242" customFormat="1" ht="15" customHeight="1">
      <c r="A136" s="689"/>
      <c r="B136" s="691"/>
      <c r="C136" s="691"/>
      <c r="D136" s="691"/>
      <c r="E136" s="600" t="s">
        <v>14</v>
      </c>
      <c r="F136" s="759" t="s">
        <v>77</v>
      </c>
      <c r="G136" s="759"/>
      <c r="H136" s="427"/>
      <c r="I136" s="427"/>
      <c r="J136" s="427"/>
      <c r="K136" s="427"/>
      <c r="L136" s="427"/>
      <c r="M136" s="690"/>
      <c r="N136" s="605">
        <f>'RAB 2.1.14 '!Q22</f>
        <v>131500</v>
      </c>
      <c r="O136" s="605"/>
      <c r="P136" s="605"/>
      <c r="Q136" s="637"/>
    </row>
    <row r="137" spans="1:17" s="242" customFormat="1" ht="15" customHeight="1">
      <c r="A137" s="689"/>
      <c r="B137" s="691"/>
      <c r="C137" s="691"/>
      <c r="D137" s="691"/>
      <c r="E137" s="600" t="s">
        <v>14</v>
      </c>
      <c r="F137" s="759" t="s">
        <v>178</v>
      </c>
      <c r="G137" s="759"/>
      <c r="H137" s="427"/>
      <c r="I137" s="427"/>
      <c r="J137" s="427"/>
      <c r="K137" s="427"/>
      <c r="L137" s="427"/>
      <c r="M137" s="690"/>
      <c r="N137" s="605">
        <f>'RAB 2.1.14 '!Q27</f>
        <v>833500</v>
      </c>
      <c r="O137" s="605"/>
      <c r="P137" s="605"/>
      <c r="Q137" s="637"/>
    </row>
    <row r="138" spans="1:17" s="242" customFormat="1" ht="15" customHeight="1">
      <c r="A138" s="689"/>
      <c r="B138" s="691"/>
      <c r="C138" s="691"/>
      <c r="D138" s="691"/>
      <c r="E138" s="600"/>
      <c r="F138" s="697"/>
      <c r="G138" s="697"/>
      <c r="H138" s="697"/>
      <c r="I138" s="697"/>
      <c r="J138" s="697"/>
      <c r="K138" s="697"/>
      <c r="L138" s="697"/>
      <c r="M138" s="690"/>
      <c r="N138" s="605"/>
      <c r="O138" s="605"/>
      <c r="P138" s="605"/>
      <c r="Q138" s="637"/>
    </row>
    <row r="139" spans="1:17" s="242" customFormat="1" ht="15" customHeight="1">
      <c r="A139" s="689">
        <v>2</v>
      </c>
      <c r="B139" s="691">
        <v>1</v>
      </c>
      <c r="C139" s="691">
        <v>15</v>
      </c>
      <c r="D139" s="691"/>
      <c r="E139" s="696" t="s">
        <v>501</v>
      </c>
      <c r="F139" s="697"/>
      <c r="G139" s="697"/>
      <c r="H139" s="427"/>
      <c r="I139" s="427"/>
      <c r="J139" s="427"/>
      <c r="K139" s="427"/>
      <c r="L139" s="427"/>
      <c r="M139" s="690"/>
      <c r="N139" s="598">
        <f>N140</f>
        <v>1233750</v>
      </c>
      <c r="O139" s="598"/>
      <c r="P139" s="598"/>
      <c r="Q139" s="637" t="s">
        <v>480</v>
      </c>
    </row>
    <row r="140" spans="1:17" s="242" customFormat="1" ht="15" customHeight="1">
      <c r="A140" s="689">
        <v>2</v>
      </c>
      <c r="B140" s="691">
        <v>1</v>
      </c>
      <c r="C140" s="691">
        <v>15</v>
      </c>
      <c r="D140" s="691">
        <v>2</v>
      </c>
      <c r="E140" s="758" t="s">
        <v>29</v>
      </c>
      <c r="F140" s="759"/>
      <c r="G140" s="759"/>
      <c r="H140" s="427"/>
      <c r="I140" s="427"/>
      <c r="J140" s="427"/>
      <c r="K140" s="427"/>
      <c r="L140" s="427"/>
      <c r="M140" s="690"/>
      <c r="N140" s="605">
        <f>SUM(N141:N144)</f>
        <v>1233750</v>
      </c>
      <c r="O140" s="605"/>
      <c r="P140" s="605"/>
      <c r="Q140" s="637"/>
    </row>
    <row r="141" spans="1:17" s="242" customFormat="1" ht="15" customHeight="1">
      <c r="A141" s="689"/>
      <c r="B141" s="691"/>
      <c r="C141" s="691"/>
      <c r="D141" s="691"/>
      <c r="E141" s="707" t="s">
        <v>14</v>
      </c>
      <c r="F141" s="697" t="s">
        <v>204</v>
      </c>
      <c r="G141" s="697"/>
      <c r="H141" s="427"/>
      <c r="I141" s="427"/>
      <c r="J141" s="427"/>
      <c r="K141" s="427"/>
      <c r="L141" s="427"/>
      <c r="M141" s="690"/>
      <c r="N141" s="605">
        <f>'RAB 2.1.15'!Q17</f>
        <v>505000</v>
      </c>
      <c r="O141" s="605"/>
      <c r="P141" s="605"/>
      <c r="Q141" s="637"/>
    </row>
    <row r="142" spans="1:17" s="242" customFormat="1" ht="15" customHeight="1">
      <c r="A142" s="689"/>
      <c r="B142" s="691"/>
      <c r="C142" s="691"/>
      <c r="D142" s="691"/>
      <c r="E142" s="707" t="s">
        <v>14</v>
      </c>
      <c r="F142" s="697" t="s">
        <v>51</v>
      </c>
      <c r="G142" s="697"/>
      <c r="H142" s="427"/>
      <c r="I142" s="427"/>
      <c r="J142" s="427"/>
      <c r="K142" s="427"/>
      <c r="L142" s="427"/>
      <c r="M142" s="690"/>
      <c r="N142" s="605">
        <f>'RAB 2.1.15'!Q22</f>
        <v>630000</v>
      </c>
      <c r="O142" s="605"/>
      <c r="P142" s="605"/>
      <c r="Q142" s="637"/>
    </row>
    <row r="143" spans="1:17" s="242" customFormat="1" ht="15" customHeight="1">
      <c r="A143" s="689"/>
      <c r="B143" s="691"/>
      <c r="C143" s="691"/>
      <c r="D143" s="691"/>
      <c r="E143" s="600" t="s">
        <v>14</v>
      </c>
      <c r="F143" s="759" t="s">
        <v>77</v>
      </c>
      <c r="G143" s="759"/>
      <c r="H143" s="427"/>
      <c r="I143" s="427"/>
      <c r="J143" s="427"/>
      <c r="K143" s="427"/>
      <c r="L143" s="427"/>
      <c r="M143" s="690"/>
      <c r="N143" s="605">
        <f>'RAB 2.1.15'!Q26</f>
        <v>63750</v>
      </c>
      <c r="O143" s="605"/>
      <c r="P143" s="605"/>
      <c r="Q143" s="637"/>
    </row>
    <row r="144" spans="1:17" s="242" customFormat="1" ht="15" customHeight="1">
      <c r="A144" s="689"/>
      <c r="B144" s="691"/>
      <c r="C144" s="691"/>
      <c r="D144" s="691"/>
      <c r="E144" s="600" t="s">
        <v>14</v>
      </c>
      <c r="F144" s="759" t="s">
        <v>178</v>
      </c>
      <c r="G144" s="759"/>
      <c r="H144" s="427"/>
      <c r="I144" s="427"/>
      <c r="J144" s="427"/>
      <c r="K144" s="427"/>
      <c r="L144" s="427"/>
      <c r="M144" s="690"/>
      <c r="N144" s="605">
        <f>'RAB 2.1.15'!Q30</f>
        <v>35000</v>
      </c>
      <c r="O144" s="605"/>
      <c r="P144" s="605"/>
      <c r="Q144" s="637"/>
    </row>
    <row r="145" spans="1:19" s="242" customFormat="1" ht="15" customHeight="1">
      <c r="A145" s="689"/>
      <c r="B145" s="691"/>
      <c r="C145" s="691"/>
      <c r="D145" s="691"/>
      <c r="E145" s="600"/>
      <c r="F145" s="697"/>
      <c r="G145" s="697"/>
      <c r="H145" s="697"/>
      <c r="I145" s="697"/>
      <c r="J145" s="697"/>
      <c r="K145" s="697"/>
      <c r="L145" s="697"/>
      <c r="M145" s="690"/>
      <c r="N145" s="605"/>
      <c r="O145" s="605"/>
      <c r="P145" s="605"/>
      <c r="Q145" s="637"/>
    </row>
    <row r="146" spans="1:19" s="242" customFormat="1" ht="15" customHeight="1">
      <c r="A146" s="689">
        <v>2</v>
      </c>
      <c r="B146" s="691">
        <v>1</v>
      </c>
      <c r="C146" s="691">
        <v>16</v>
      </c>
      <c r="D146" s="691"/>
      <c r="E146" s="696" t="s">
        <v>396</v>
      </c>
      <c r="F146" s="697"/>
      <c r="G146" s="697"/>
      <c r="H146" s="427"/>
      <c r="I146" s="427"/>
      <c r="J146" s="427"/>
      <c r="K146" s="427"/>
      <c r="L146" s="427"/>
      <c r="M146" s="690"/>
      <c r="N146" s="598">
        <f>N147</f>
        <v>10000000</v>
      </c>
      <c r="O146" s="598">
        <f>O147</f>
        <v>10000000</v>
      </c>
      <c r="P146" s="598"/>
      <c r="Q146" s="637" t="s">
        <v>288</v>
      </c>
    </row>
    <row r="147" spans="1:19" s="242" customFormat="1" ht="15" customHeight="1">
      <c r="A147" s="689">
        <v>2</v>
      </c>
      <c r="B147" s="691">
        <v>1</v>
      </c>
      <c r="C147" s="691">
        <v>16</v>
      </c>
      <c r="D147" s="691">
        <v>2</v>
      </c>
      <c r="E147" s="758" t="s">
        <v>29</v>
      </c>
      <c r="F147" s="759"/>
      <c r="G147" s="759"/>
      <c r="H147" s="427"/>
      <c r="I147" s="427"/>
      <c r="J147" s="427"/>
      <c r="K147" s="427"/>
      <c r="L147" s="427"/>
      <c r="M147" s="690"/>
      <c r="N147" s="605">
        <f>SUM(N148:N151)</f>
        <v>10000000</v>
      </c>
      <c r="O147" s="605">
        <f>SUM(O148:O151)</f>
        <v>10000000</v>
      </c>
      <c r="P147" s="605"/>
      <c r="Q147" s="637"/>
    </row>
    <row r="148" spans="1:19" s="242" customFormat="1" ht="15" customHeight="1">
      <c r="A148" s="689"/>
      <c r="B148" s="691"/>
      <c r="C148" s="691"/>
      <c r="D148" s="691"/>
      <c r="E148" s="707" t="s">
        <v>14</v>
      </c>
      <c r="F148" s="697" t="s">
        <v>204</v>
      </c>
      <c r="G148" s="697"/>
      <c r="H148" s="427"/>
      <c r="I148" s="427"/>
      <c r="J148" s="427"/>
      <c r="K148" s="427"/>
      <c r="L148" s="427"/>
      <c r="M148" s="690"/>
      <c r="N148" s="605">
        <f>'RAB 2.1.16'!Q17</f>
        <v>4200000</v>
      </c>
      <c r="O148" s="605">
        <f>N148</f>
        <v>4200000</v>
      </c>
      <c r="P148" s="605"/>
      <c r="Q148" s="637"/>
    </row>
    <row r="149" spans="1:19" s="242" customFormat="1" ht="15" customHeight="1">
      <c r="A149" s="689"/>
      <c r="B149" s="691"/>
      <c r="C149" s="691"/>
      <c r="D149" s="691"/>
      <c r="E149" s="707" t="s">
        <v>14</v>
      </c>
      <c r="F149" s="697" t="s">
        <v>51</v>
      </c>
      <c r="G149" s="697"/>
      <c r="H149" s="427"/>
      <c r="I149" s="427"/>
      <c r="J149" s="427"/>
      <c r="K149" s="427"/>
      <c r="L149" s="427"/>
      <c r="M149" s="690"/>
      <c r="N149" s="605">
        <f>'RAB 2.1.16'!Q23</f>
        <v>5180000</v>
      </c>
      <c r="O149" s="605">
        <f>N149</f>
        <v>5180000</v>
      </c>
      <c r="P149" s="605"/>
      <c r="Q149" s="637"/>
    </row>
    <row r="150" spans="1:19" s="242" customFormat="1" ht="15" customHeight="1">
      <c r="A150" s="689"/>
      <c r="B150" s="691"/>
      <c r="C150" s="691"/>
      <c r="D150" s="691"/>
      <c r="E150" s="600" t="s">
        <v>14</v>
      </c>
      <c r="F150" s="759" t="s">
        <v>77</v>
      </c>
      <c r="G150" s="759"/>
      <c r="H150" s="427"/>
      <c r="I150" s="427"/>
      <c r="J150" s="427"/>
      <c r="K150" s="427"/>
      <c r="L150" s="427"/>
      <c r="M150" s="690"/>
      <c r="N150" s="605">
        <f>'RAB 2.1.16'!Q27</f>
        <v>150000</v>
      </c>
      <c r="O150" s="605">
        <f>N150</f>
        <v>150000</v>
      </c>
      <c r="P150" s="605"/>
      <c r="Q150" s="637"/>
    </row>
    <row r="151" spans="1:19" s="242" customFormat="1" ht="15" customHeight="1">
      <c r="A151" s="689"/>
      <c r="B151" s="691"/>
      <c r="C151" s="691"/>
      <c r="D151" s="691"/>
      <c r="E151" s="600" t="s">
        <v>14</v>
      </c>
      <c r="F151" s="759" t="s">
        <v>178</v>
      </c>
      <c r="G151" s="759"/>
      <c r="H151" s="427"/>
      <c r="I151" s="427"/>
      <c r="J151" s="427"/>
      <c r="K151" s="427"/>
      <c r="L151" s="427"/>
      <c r="M151" s="690"/>
      <c r="N151" s="605">
        <f>'RAB 2.1.16'!Q32</f>
        <v>470000</v>
      </c>
      <c r="O151" s="605">
        <f>N151</f>
        <v>470000</v>
      </c>
      <c r="P151" s="605"/>
      <c r="Q151" s="637"/>
    </row>
    <row r="152" spans="1:19" s="242" customFormat="1" ht="15" customHeight="1">
      <c r="A152" s="689"/>
      <c r="B152" s="691"/>
      <c r="C152" s="691"/>
      <c r="D152" s="691"/>
      <c r="E152" s="600"/>
      <c r="F152" s="697"/>
      <c r="G152" s="697"/>
      <c r="H152" s="697"/>
      <c r="I152" s="697"/>
      <c r="J152" s="697"/>
      <c r="K152" s="697"/>
      <c r="L152" s="697"/>
      <c r="M152" s="690"/>
      <c r="N152" s="605"/>
      <c r="O152" s="605"/>
      <c r="P152" s="605"/>
      <c r="Q152" s="637"/>
    </row>
    <row r="153" spans="1:19" s="242" customFormat="1" ht="15" customHeight="1">
      <c r="A153" s="685">
        <v>2</v>
      </c>
      <c r="B153" s="513">
        <v>2</v>
      </c>
      <c r="C153" s="513"/>
      <c r="D153" s="513"/>
      <c r="E153" s="762" t="s">
        <v>155</v>
      </c>
      <c r="F153" s="763"/>
      <c r="G153" s="763"/>
      <c r="H153" s="763"/>
      <c r="I153" s="763"/>
      <c r="J153" s="763"/>
      <c r="K153" s="763"/>
      <c r="L153" s="763"/>
      <c r="M153" s="687"/>
      <c r="N153" s="598">
        <f>SUM(N163+N183+N240+N262+N312)+N155</f>
        <v>653953500.39999998</v>
      </c>
      <c r="O153" s="598"/>
      <c r="P153" s="598"/>
      <c r="Q153" s="637"/>
    </row>
    <row r="154" spans="1:19" s="242" customFormat="1" ht="15" customHeight="1">
      <c r="A154" s="685"/>
      <c r="B154" s="513"/>
      <c r="C154" s="513"/>
      <c r="D154" s="513"/>
      <c r="E154" s="699"/>
      <c r="F154" s="700"/>
      <c r="G154" s="700"/>
      <c r="H154" s="700"/>
      <c r="I154" s="700"/>
      <c r="J154" s="700"/>
      <c r="K154" s="700"/>
      <c r="L154" s="700"/>
      <c r="M154" s="687"/>
      <c r="N154" s="598"/>
      <c r="O154" s="598"/>
      <c r="P154" s="598"/>
      <c r="Q154" s="637"/>
    </row>
    <row r="155" spans="1:19" s="242" customFormat="1" ht="15" customHeight="1">
      <c r="A155" s="689">
        <v>2</v>
      </c>
      <c r="B155" s="691">
        <v>2</v>
      </c>
      <c r="C155" s="691">
        <v>1</v>
      </c>
      <c r="D155" s="691"/>
      <c r="E155" s="593" t="s">
        <v>537</v>
      </c>
      <c r="F155" s="594"/>
      <c r="G155" s="594"/>
      <c r="H155" s="594"/>
      <c r="I155" s="594"/>
      <c r="J155" s="594"/>
      <c r="K155" s="594"/>
      <c r="L155" s="594"/>
      <c r="M155" s="690"/>
      <c r="N155" s="598">
        <f>N156+N160</f>
        <v>63320000</v>
      </c>
      <c r="O155" s="598"/>
      <c r="P155" s="598"/>
      <c r="Q155" s="637"/>
    </row>
    <row r="156" spans="1:19" s="242" customFormat="1" ht="15" customHeight="1">
      <c r="A156" s="689">
        <v>2</v>
      </c>
      <c r="B156" s="691">
        <v>2</v>
      </c>
      <c r="C156" s="691">
        <v>1</v>
      </c>
      <c r="D156" s="691">
        <v>2</v>
      </c>
      <c r="E156" s="758" t="s">
        <v>29</v>
      </c>
      <c r="F156" s="759"/>
      <c r="G156" s="759"/>
      <c r="H156" s="759"/>
      <c r="I156" s="759"/>
      <c r="J156" s="759"/>
      <c r="K156" s="759"/>
      <c r="L156" s="759"/>
      <c r="M156" s="606"/>
      <c r="N156" s="598">
        <f>N157</f>
        <v>7070000</v>
      </c>
      <c r="O156" s="598"/>
      <c r="P156" s="598"/>
      <c r="Q156" s="637"/>
    </row>
    <row r="157" spans="1:19" s="242" customFormat="1" ht="15" customHeight="1">
      <c r="A157" s="689"/>
      <c r="B157" s="691"/>
      <c r="C157" s="691"/>
      <c r="D157" s="691"/>
      <c r="E157" s="600" t="s">
        <v>14</v>
      </c>
      <c r="F157" s="594" t="s">
        <v>538</v>
      </c>
      <c r="G157" s="594"/>
      <c r="H157" s="594"/>
      <c r="I157" s="594"/>
      <c r="J157" s="594"/>
      <c r="K157" s="594"/>
      <c r="L157" s="594"/>
      <c r="M157" s="690"/>
      <c r="N157" s="598">
        <f>SUM(N158:N158)</f>
        <v>7070000</v>
      </c>
      <c r="O157" s="598"/>
      <c r="P157" s="598"/>
      <c r="Q157" s="637"/>
    </row>
    <row r="158" spans="1:19" s="242" customFormat="1" ht="15" customHeight="1">
      <c r="A158" s="689"/>
      <c r="B158" s="691"/>
      <c r="C158" s="691"/>
      <c r="D158" s="691"/>
      <c r="E158" s="600"/>
      <c r="F158" s="767" t="s">
        <v>539</v>
      </c>
      <c r="G158" s="759"/>
      <c r="H158" s="697"/>
      <c r="I158" s="697"/>
      <c r="J158" s="697"/>
      <c r="K158" s="697"/>
      <c r="L158" s="697"/>
      <c r="M158" s="690"/>
      <c r="N158" s="598">
        <f>'RAB 2.2.1.'!S20</f>
        <v>7070000</v>
      </c>
      <c r="O158" s="598"/>
      <c r="P158" s="598"/>
      <c r="Q158" s="637"/>
    </row>
    <row r="159" spans="1:19" s="242" customFormat="1" ht="15" customHeight="1">
      <c r="A159" s="685"/>
      <c r="B159" s="513"/>
      <c r="C159" s="513"/>
      <c r="D159" s="513"/>
      <c r="E159" s="699"/>
      <c r="F159" s="700"/>
      <c r="G159" s="700"/>
      <c r="H159" s="700"/>
      <c r="I159" s="700"/>
      <c r="J159" s="700"/>
      <c r="K159" s="700"/>
      <c r="L159" s="700"/>
      <c r="M159" s="687"/>
      <c r="N159" s="598"/>
      <c r="O159" s="598"/>
      <c r="P159" s="598"/>
      <c r="Q159" s="637"/>
    </row>
    <row r="160" spans="1:19" s="242" customFormat="1" ht="15" customHeight="1">
      <c r="A160" s="689">
        <v>2</v>
      </c>
      <c r="B160" s="691">
        <v>2</v>
      </c>
      <c r="C160" s="691">
        <v>3</v>
      </c>
      <c r="D160" s="691">
        <v>3</v>
      </c>
      <c r="E160" s="696" t="s">
        <v>536</v>
      </c>
      <c r="F160" s="697"/>
      <c r="G160" s="697"/>
      <c r="H160" s="697"/>
      <c r="I160" s="697"/>
      <c r="J160" s="697"/>
      <c r="K160" s="697"/>
      <c r="L160" s="697"/>
      <c r="M160" s="690"/>
      <c r="N160" s="598">
        <f>N161</f>
        <v>56250000</v>
      </c>
      <c r="O160" s="598"/>
      <c r="P160" s="598"/>
      <c r="Q160" s="637"/>
      <c r="S160" s="311">
        <f>S161-N250</f>
        <v>137937500</v>
      </c>
    </row>
    <row r="161" spans="1:19" s="242" customFormat="1" ht="15" customHeight="1">
      <c r="A161" s="689"/>
      <c r="B161" s="691"/>
      <c r="C161" s="691"/>
      <c r="D161" s="691"/>
      <c r="E161" s="600"/>
      <c r="F161" s="611" t="s">
        <v>14</v>
      </c>
      <c r="G161" s="594" t="s">
        <v>535</v>
      </c>
      <c r="H161" s="594"/>
      <c r="I161" s="594"/>
      <c r="J161" s="594"/>
      <c r="K161" s="594"/>
      <c r="L161" s="594"/>
      <c r="M161" s="690"/>
      <c r="N161" s="605">
        <f>'RAB 2.2.1.'!S23</f>
        <v>56250000</v>
      </c>
      <c r="O161" s="605"/>
      <c r="P161" s="605"/>
      <c r="Q161" s="637"/>
      <c r="S161" s="311">
        <f>N156+N164+N184+N240+N263+N313</f>
        <v>152937500</v>
      </c>
    </row>
    <row r="162" spans="1:19" s="242" customFormat="1" ht="15" customHeight="1">
      <c r="A162" s="685"/>
      <c r="B162" s="513"/>
      <c r="C162" s="513"/>
      <c r="D162" s="513"/>
      <c r="E162" s="699"/>
      <c r="F162" s="700"/>
      <c r="G162" s="700"/>
      <c r="H162" s="700"/>
      <c r="I162" s="700"/>
      <c r="J162" s="700"/>
      <c r="K162" s="700"/>
      <c r="L162" s="700"/>
      <c r="M162" s="687"/>
      <c r="N162" s="598"/>
      <c r="O162" s="598"/>
      <c r="P162" s="598"/>
      <c r="Q162" s="637"/>
      <c r="S162" s="311">
        <f>N160+N169+N197+N250+N269+N331</f>
        <v>516016000.39999998</v>
      </c>
    </row>
    <row r="163" spans="1:19" s="242" customFormat="1" ht="15" customHeight="1">
      <c r="A163" s="689">
        <v>2</v>
      </c>
      <c r="B163" s="691">
        <v>2</v>
      </c>
      <c r="C163" s="691">
        <v>3</v>
      </c>
      <c r="D163" s="691"/>
      <c r="E163" s="593" t="s">
        <v>393</v>
      </c>
      <c r="F163" s="594"/>
      <c r="G163" s="594"/>
      <c r="H163" s="594"/>
      <c r="I163" s="594"/>
      <c r="J163" s="594"/>
      <c r="K163" s="594"/>
      <c r="L163" s="594"/>
      <c r="M163" s="690"/>
      <c r="N163" s="598">
        <f>N164+N169</f>
        <v>257698500</v>
      </c>
      <c r="O163" s="598"/>
      <c r="P163" s="598"/>
      <c r="Q163" s="637" t="s">
        <v>286</v>
      </c>
      <c r="S163" s="271">
        <f>N163+N183+N262+N312+N423+N427</f>
        <v>653895000.39999998</v>
      </c>
    </row>
    <row r="164" spans="1:19" s="242" customFormat="1" ht="15" customHeight="1">
      <c r="A164" s="689">
        <v>2</v>
      </c>
      <c r="B164" s="691">
        <v>2</v>
      </c>
      <c r="C164" s="691">
        <v>3</v>
      </c>
      <c r="D164" s="691">
        <v>2</v>
      </c>
      <c r="E164" s="758" t="s">
        <v>29</v>
      </c>
      <c r="F164" s="759"/>
      <c r="G164" s="759"/>
      <c r="H164" s="759"/>
      <c r="I164" s="759"/>
      <c r="J164" s="759"/>
      <c r="K164" s="759"/>
      <c r="L164" s="759"/>
      <c r="M164" s="606"/>
      <c r="N164" s="598">
        <f>N165</f>
        <v>40616000</v>
      </c>
      <c r="O164" s="598"/>
      <c r="P164" s="598"/>
      <c r="Q164" s="637"/>
      <c r="S164" s="271"/>
    </row>
    <row r="165" spans="1:19" s="242" customFormat="1" ht="15" customHeight="1">
      <c r="A165" s="689"/>
      <c r="B165" s="691"/>
      <c r="C165" s="691"/>
      <c r="D165" s="691"/>
      <c r="E165" s="600" t="s">
        <v>14</v>
      </c>
      <c r="F165" s="759" t="s">
        <v>457</v>
      </c>
      <c r="G165" s="759"/>
      <c r="H165" s="759"/>
      <c r="I165" s="759"/>
      <c r="J165" s="759"/>
      <c r="K165" s="759"/>
      <c r="L165" s="759"/>
      <c r="M165" s="690"/>
      <c r="N165" s="605">
        <f>SUM(N166:N167)</f>
        <v>40616000</v>
      </c>
      <c r="O165" s="605"/>
      <c r="P165" s="605"/>
      <c r="Q165" s="637"/>
      <c r="S165" s="271"/>
    </row>
    <row r="166" spans="1:19" s="242" customFormat="1" ht="15" customHeight="1">
      <c r="A166" s="689"/>
      <c r="B166" s="691"/>
      <c r="C166" s="691"/>
      <c r="D166" s="691"/>
      <c r="E166" s="600"/>
      <c r="F166" s="759" t="str">
        <f>'RAB 2.2.3...'!I20</f>
        <v>Pekerja</v>
      </c>
      <c r="G166" s="759"/>
      <c r="H166" s="697"/>
      <c r="I166" s="697"/>
      <c r="J166" s="697"/>
      <c r="K166" s="697"/>
      <c r="L166" s="697"/>
      <c r="M166" s="690"/>
      <c r="N166" s="605">
        <f>'RAB 2.2.3...'!S20</f>
        <v>33782000</v>
      </c>
      <c r="O166" s="605"/>
      <c r="P166" s="605"/>
      <c r="Q166" s="637"/>
      <c r="S166" s="271" t="e">
        <f>N164+#REF!+N184+N241+N263+N313</f>
        <v>#REF!</v>
      </c>
    </row>
    <row r="167" spans="1:19" s="242" customFormat="1" ht="15" customHeight="1">
      <c r="A167" s="689"/>
      <c r="B167" s="691"/>
      <c r="C167" s="691"/>
      <c r="D167" s="691"/>
      <c r="E167" s="600"/>
      <c r="F167" s="759" t="str">
        <f>'RAB 2.2.3...'!I21</f>
        <v>Tukang</v>
      </c>
      <c r="G167" s="759"/>
      <c r="H167" s="697"/>
      <c r="I167" s="697"/>
      <c r="J167" s="697"/>
      <c r="K167" s="697"/>
      <c r="L167" s="697"/>
      <c r="M167" s="690"/>
      <c r="N167" s="605">
        <f>'RAB 2.2.3...'!S21</f>
        <v>6834000.0000000009</v>
      </c>
      <c r="O167" s="605"/>
      <c r="P167" s="605"/>
      <c r="Q167" s="637"/>
      <c r="S167" s="271" t="e">
        <f>N170+#REF!+N197+N269+N331</f>
        <v>#REF!</v>
      </c>
    </row>
    <row r="168" spans="1:19" s="242" customFormat="1" ht="15" customHeight="1">
      <c r="A168" s="689"/>
      <c r="B168" s="691"/>
      <c r="C168" s="691"/>
      <c r="D168" s="691"/>
      <c r="E168" s="600"/>
      <c r="F168" s="697"/>
      <c r="G168" s="697"/>
      <c r="H168" s="697"/>
      <c r="I168" s="697"/>
      <c r="J168" s="697"/>
      <c r="K168" s="697"/>
      <c r="L168" s="697"/>
      <c r="M168" s="690"/>
      <c r="N168" s="605"/>
      <c r="O168" s="605"/>
      <c r="P168" s="605"/>
      <c r="Q168" s="637"/>
      <c r="S168" s="271"/>
    </row>
    <row r="169" spans="1:19" s="242" customFormat="1" ht="15" customHeight="1">
      <c r="A169" s="689">
        <v>2</v>
      </c>
      <c r="B169" s="691">
        <v>2</v>
      </c>
      <c r="C169" s="691">
        <v>3</v>
      </c>
      <c r="D169" s="691">
        <v>3</v>
      </c>
      <c r="E169" s="696" t="s">
        <v>60</v>
      </c>
      <c r="F169" s="697"/>
      <c r="G169" s="697"/>
      <c r="H169" s="697"/>
      <c r="I169" s="697"/>
      <c r="J169" s="697"/>
      <c r="K169" s="697"/>
      <c r="L169" s="697"/>
      <c r="M169" s="690"/>
      <c r="N169" s="598">
        <f>N170</f>
        <v>217082500</v>
      </c>
      <c r="O169" s="598"/>
      <c r="P169" s="598"/>
      <c r="Q169" s="637"/>
      <c r="S169" s="271" t="e">
        <f>#REF!+Sheet1!I33</f>
        <v>#REF!</v>
      </c>
    </row>
    <row r="170" spans="1:19" s="242" customFormat="1" ht="15" customHeight="1">
      <c r="A170" s="689"/>
      <c r="B170" s="691"/>
      <c r="C170" s="691"/>
      <c r="D170" s="691"/>
      <c r="E170" s="766" t="s">
        <v>512</v>
      </c>
      <c r="F170" s="759"/>
      <c r="G170" s="759"/>
      <c r="H170" s="759"/>
      <c r="I170" s="759"/>
      <c r="J170" s="759"/>
      <c r="K170" s="759"/>
      <c r="L170" s="759"/>
      <c r="M170" s="690"/>
      <c r="N170" s="605">
        <f>SUM(N171:N181)</f>
        <v>217082500</v>
      </c>
      <c r="O170" s="605"/>
      <c r="P170" s="605"/>
      <c r="Q170" s="637"/>
      <c r="S170" s="271"/>
    </row>
    <row r="171" spans="1:19" s="242" customFormat="1" ht="15" customHeight="1">
      <c r="A171" s="689"/>
      <c r="B171" s="691"/>
      <c r="C171" s="691"/>
      <c r="D171" s="691"/>
      <c r="E171" s="600"/>
      <c r="F171" s="759" t="str">
        <f>'RAB 2.2.3...'!I26</f>
        <v>Pasir Pasangan</v>
      </c>
      <c r="G171" s="759"/>
      <c r="H171" s="759"/>
      <c r="I171" s="759"/>
      <c r="J171" s="759"/>
      <c r="K171" s="759"/>
      <c r="L171" s="759"/>
      <c r="M171" s="690"/>
      <c r="N171" s="605">
        <f>'RAB 2.2.3...'!S26</f>
        <v>30810000</v>
      </c>
      <c r="O171" s="605"/>
      <c r="P171" s="605"/>
      <c r="Q171" s="637"/>
      <c r="S171" s="271"/>
    </row>
    <row r="172" spans="1:19" s="242" customFormat="1" ht="15" customHeight="1">
      <c r="A172" s="689"/>
      <c r="B172" s="691"/>
      <c r="C172" s="691"/>
      <c r="D172" s="691"/>
      <c r="E172" s="600"/>
      <c r="F172" s="697" t="str">
        <f>'RAB 2.2.3...'!I27</f>
        <v>Semen Portland</v>
      </c>
      <c r="G172" s="697"/>
      <c r="H172" s="697"/>
      <c r="I172" s="697"/>
      <c r="J172" s="697"/>
      <c r="K172" s="697"/>
      <c r="L172" s="697"/>
      <c r="M172" s="690"/>
      <c r="N172" s="605">
        <f>'RAB 2.2.3...'!S27</f>
        <v>127775700</v>
      </c>
      <c r="O172" s="605"/>
      <c r="P172" s="605"/>
      <c r="Q172" s="637"/>
    </row>
    <row r="173" spans="1:19" s="242" customFormat="1" ht="15" customHeight="1">
      <c r="A173" s="689"/>
      <c r="B173" s="691"/>
      <c r="C173" s="691"/>
      <c r="D173" s="691"/>
      <c r="E173" s="600"/>
      <c r="F173" s="697" t="str">
        <f>'RAB 2.2.3...'!I28</f>
        <v>Kerikil tersaring</v>
      </c>
      <c r="G173" s="697"/>
      <c r="H173" s="697"/>
      <c r="I173" s="697"/>
      <c r="J173" s="697"/>
      <c r="K173" s="697"/>
      <c r="L173" s="697"/>
      <c r="M173" s="690"/>
      <c r="N173" s="605">
        <f>'RAB 2.2.3...'!S28</f>
        <v>50017500</v>
      </c>
      <c r="O173" s="605"/>
      <c r="P173" s="605"/>
      <c r="Q173" s="637"/>
    </row>
    <row r="174" spans="1:19" s="242" customFormat="1" ht="15" customHeight="1">
      <c r="A174" s="689"/>
      <c r="B174" s="691"/>
      <c r="C174" s="691"/>
      <c r="D174" s="691"/>
      <c r="E174" s="600"/>
      <c r="F174" s="697" t="str">
        <f>'RAB 2.2.3...'!I29</f>
        <v>Kayu/Papan</v>
      </c>
      <c r="G174" s="697"/>
      <c r="H174" s="697"/>
      <c r="I174" s="697"/>
      <c r="J174" s="697"/>
      <c r="K174" s="697"/>
      <c r="L174" s="697"/>
      <c r="M174" s="690"/>
      <c r="N174" s="605">
        <f>'RAB 2.2.3...'!S29</f>
        <v>420000</v>
      </c>
      <c r="O174" s="605"/>
      <c r="P174" s="605"/>
      <c r="Q174" s="637"/>
    </row>
    <row r="175" spans="1:19" s="242" customFormat="1" ht="15" customHeight="1">
      <c r="A175" s="689"/>
      <c r="B175" s="691"/>
      <c r="C175" s="691"/>
      <c r="D175" s="691"/>
      <c r="E175" s="600"/>
      <c r="F175" s="697" t="str">
        <f>'RAB 2.2.3...'!I30</f>
        <v>Kebutuhan Air</v>
      </c>
      <c r="G175" s="697"/>
      <c r="H175" s="697"/>
      <c r="I175" s="697"/>
      <c r="J175" s="697"/>
      <c r="K175" s="697"/>
      <c r="L175" s="697"/>
      <c r="M175" s="690"/>
      <c r="N175" s="605">
        <f>'RAB 2.2.3...'!S30</f>
        <v>6300000</v>
      </c>
      <c r="O175" s="605"/>
      <c r="P175" s="605"/>
      <c r="Q175" s="637"/>
    </row>
    <row r="176" spans="1:19" s="242" customFormat="1" ht="15" customHeight="1">
      <c r="A176" s="689"/>
      <c r="B176" s="691"/>
      <c r="C176" s="691"/>
      <c r="D176" s="691"/>
      <c r="E176" s="600"/>
      <c r="F176" s="697" t="str">
        <f>'RAB 2.2.3...'!I31</f>
        <v>Gerobak</v>
      </c>
      <c r="G176" s="697"/>
      <c r="H176" s="697"/>
      <c r="I176" s="697"/>
      <c r="J176" s="697"/>
      <c r="K176" s="697"/>
      <c r="L176" s="697"/>
      <c r="M176" s="690"/>
      <c r="N176" s="605">
        <f>'RAB 2.2.3...'!S31</f>
        <v>800000</v>
      </c>
      <c r="O176" s="605"/>
      <c r="P176" s="605"/>
      <c r="Q176" s="637"/>
      <c r="S176" s="311"/>
    </row>
    <row r="177" spans="1:19" s="242" customFormat="1" ht="15" customHeight="1">
      <c r="A177" s="689"/>
      <c r="B177" s="691"/>
      <c r="C177" s="691"/>
      <c r="D177" s="691"/>
      <c r="E177" s="600"/>
      <c r="F177" s="697" t="str">
        <f>'RAB 2.2.3...'!I32</f>
        <v>Skop</v>
      </c>
      <c r="G177" s="697"/>
      <c r="H177" s="697"/>
      <c r="I177" s="697"/>
      <c r="J177" s="697"/>
      <c r="K177" s="697"/>
      <c r="L177" s="697"/>
      <c r="M177" s="690"/>
      <c r="N177" s="605">
        <f>'RAB 2.2.3...'!S32</f>
        <v>325000</v>
      </c>
      <c r="O177" s="605"/>
      <c r="P177" s="605"/>
      <c r="Q177" s="637"/>
      <c r="S177" s="311"/>
    </row>
    <row r="178" spans="1:19" s="242" customFormat="1" ht="15" customHeight="1">
      <c r="A178" s="689"/>
      <c r="B178" s="691"/>
      <c r="C178" s="691"/>
      <c r="D178" s="691"/>
      <c r="E178" s="600"/>
      <c r="F178" s="697" t="str">
        <f>'RAB 2.2.3...'!I33</f>
        <v>Ember</v>
      </c>
      <c r="G178" s="697"/>
      <c r="H178" s="697"/>
      <c r="I178" s="697"/>
      <c r="J178" s="697"/>
      <c r="K178" s="697"/>
      <c r="L178" s="697"/>
      <c r="M178" s="690"/>
      <c r="N178" s="605">
        <f>'RAB 2.2.3...'!S33</f>
        <v>72000</v>
      </c>
      <c r="O178" s="605"/>
      <c r="P178" s="605"/>
      <c r="Q178" s="637"/>
      <c r="S178" s="311"/>
    </row>
    <row r="179" spans="1:19" s="242" customFormat="1" ht="15" customHeight="1">
      <c r="A179" s="689"/>
      <c r="B179" s="691"/>
      <c r="C179" s="691"/>
      <c r="D179" s="691"/>
      <c r="E179" s="600"/>
      <c r="F179" s="697" t="str">
        <f>'RAB 2.2.3...'!I34</f>
        <v>Drum</v>
      </c>
      <c r="G179" s="697"/>
      <c r="H179" s="697"/>
      <c r="I179" s="697"/>
      <c r="J179" s="697"/>
      <c r="K179" s="697"/>
      <c r="L179" s="697"/>
      <c r="M179" s="690"/>
      <c r="N179" s="605">
        <f>'RAB 2.2.3...'!S34</f>
        <v>100000</v>
      </c>
      <c r="O179" s="605"/>
      <c r="P179" s="605"/>
      <c r="Q179" s="637"/>
    </row>
    <row r="180" spans="1:19" s="242" customFormat="1" ht="15" customHeight="1">
      <c r="A180" s="689"/>
      <c r="B180" s="691"/>
      <c r="C180" s="691"/>
      <c r="D180" s="691"/>
      <c r="E180" s="600"/>
      <c r="F180" s="697" t="str">
        <f>'RAB 2.2.3...'!I35</f>
        <v>Tali</v>
      </c>
      <c r="G180" s="697"/>
      <c r="H180" s="697"/>
      <c r="I180" s="697"/>
      <c r="J180" s="697"/>
      <c r="K180" s="697"/>
      <c r="L180" s="697"/>
      <c r="M180" s="690"/>
      <c r="N180" s="605">
        <f>'RAB 2.2.3...'!S35</f>
        <v>12300</v>
      </c>
      <c r="O180" s="605"/>
      <c r="P180" s="605"/>
      <c r="Q180" s="637"/>
    </row>
    <row r="181" spans="1:19" s="242" customFormat="1" ht="15" customHeight="1">
      <c r="A181" s="689"/>
      <c r="B181" s="691"/>
      <c r="C181" s="691"/>
      <c r="D181" s="691"/>
      <c r="E181" s="600"/>
      <c r="F181" s="697" t="str">
        <f>'RAB 2.2.3...'!I36</f>
        <v>Prasasti</v>
      </c>
      <c r="G181" s="697"/>
      <c r="H181" s="697"/>
      <c r="I181" s="697"/>
      <c r="J181" s="697"/>
      <c r="K181" s="697"/>
      <c r="L181" s="697"/>
      <c r="M181" s="690"/>
      <c r="N181" s="605">
        <f>'RAB 2.2.3...'!S36</f>
        <v>450000</v>
      </c>
      <c r="O181" s="605"/>
      <c r="P181" s="605"/>
      <c r="Q181" s="637"/>
    </row>
    <row r="182" spans="1:19" s="242" customFormat="1" ht="15" customHeight="1">
      <c r="A182" s="689"/>
      <c r="B182" s="691"/>
      <c r="C182" s="691"/>
      <c r="D182" s="691"/>
      <c r="E182" s="600"/>
      <c r="F182" s="697">
        <f>'RAB 2.2.1.'!I35</f>
        <v>0</v>
      </c>
      <c r="G182" s="697"/>
      <c r="H182" s="697"/>
      <c r="I182" s="697"/>
      <c r="J182" s="697"/>
      <c r="K182" s="697"/>
      <c r="L182" s="697"/>
      <c r="M182" s="690"/>
      <c r="N182" s="605"/>
      <c r="O182" s="605"/>
      <c r="P182" s="605"/>
      <c r="Q182" s="637"/>
    </row>
    <row r="183" spans="1:19" s="242" customFormat="1" ht="15" customHeight="1">
      <c r="A183" s="689">
        <v>2</v>
      </c>
      <c r="B183" s="691">
        <v>2</v>
      </c>
      <c r="C183" s="691">
        <v>6</v>
      </c>
      <c r="D183" s="691"/>
      <c r="E183" s="593" t="s">
        <v>394</v>
      </c>
      <c r="F183" s="594"/>
      <c r="G183" s="594"/>
      <c r="H183" s="594"/>
      <c r="I183" s="594"/>
      <c r="J183" s="594"/>
      <c r="K183" s="594"/>
      <c r="L183" s="594"/>
      <c r="M183" s="690"/>
      <c r="N183" s="598">
        <f>SUM(N184+N197)</f>
        <v>23912250</v>
      </c>
      <c r="O183" s="598"/>
      <c r="P183" s="598"/>
      <c r="Q183" s="637" t="s">
        <v>286</v>
      </c>
    </row>
    <row r="184" spans="1:19" s="242" customFormat="1" ht="15" customHeight="1">
      <c r="A184" s="689">
        <v>2</v>
      </c>
      <c r="B184" s="691">
        <v>2</v>
      </c>
      <c r="C184" s="691">
        <v>6</v>
      </c>
      <c r="D184" s="691">
        <v>1</v>
      </c>
      <c r="E184" s="758" t="s">
        <v>29</v>
      </c>
      <c r="F184" s="759"/>
      <c r="G184" s="759"/>
      <c r="H184" s="759"/>
      <c r="I184" s="759"/>
      <c r="J184" s="759"/>
      <c r="K184" s="759"/>
      <c r="L184" s="759"/>
      <c r="M184" s="606"/>
      <c r="N184" s="598">
        <f>SUM(N186:N188)</f>
        <v>7280000</v>
      </c>
      <c r="O184" s="598"/>
      <c r="P184" s="598"/>
      <c r="Q184" s="637"/>
    </row>
    <row r="185" spans="1:19" s="242" customFormat="1" ht="15" customHeight="1">
      <c r="A185" s="689"/>
      <c r="B185" s="691"/>
      <c r="C185" s="691"/>
      <c r="D185" s="691"/>
      <c r="E185" s="707" t="s">
        <v>14</v>
      </c>
      <c r="F185" s="697" t="s">
        <v>510</v>
      </c>
      <c r="G185" s="697"/>
      <c r="H185" s="697"/>
      <c r="I185" s="697"/>
      <c r="J185" s="697"/>
      <c r="K185" s="697"/>
      <c r="L185" s="697"/>
      <c r="M185" s="606"/>
      <c r="N185" s="598"/>
      <c r="O185" s="598"/>
      <c r="P185" s="598"/>
      <c r="Q185" s="637"/>
    </row>
    <row r="186" spans="1:19" s="242" customFormat="1" ht="15" customHeight="1">
      <c r="A186" s="689"/>
      <c r="B186" s="691"/>
      <c r="C186" s="691"/>
      <c r="D186" s="691"/>
      <c r="E186" s="600"/>
      <c r="F186" s="759" t="str">
        <f>'RAB 2.2.6'!I19</f>
        <v>- Pekerja</v>
      </c>
      <c r="G186" s="759"/>
      <c r="H186" s="759"/>
      <c r="I186" s="759"/>
      <c r="J186" s="759"/>
      <c r="K186" s="759"/>
      <c r="L186" s="759"/>
      <c r="M186" s="690"/>
      <c r="N186" s="605">
        <f>'RAB 2.2.6'!S19</f>
        <v>3740000</v>
      </c>
      <c r="O186" s="605"/>
      <c r="P186" s="605"/>
      <c r="Q186" s="637"/>
    </row>
    <row r="187" spans="1:19" s="242" customFormat="1" ht="15" customHeight="1">
      <c r="A187" s="689"/>
      <c r="B187" s="691"/>
      <c r="C187" s="691"/>
      <c r="D187" s="691"/>
      <c r="E187" s="600"/>
      <c r="F187" s="759" t="str">
        <f>'RAB 2.2.6'!I20</f>
        <v>- Tukang</v>
      </c>
      <c r="G187" s="759"/>
      <c r="H187" s="697"/>
      <c r="I187" s="697"/>
      <c r="J187" s="697"/>
      <c r="K187" s="697"/>
      <c r="L187" s="697"/>
      <c r="M187" s="690"/>
      <c r="N187" s="605">
        <f>'RAB 2.2.6'!S20</f>
        <v>2860000</v>
      </c>
      <c r="O187" s="605"/>
      <c r="P187" s="605"/>
      <c r="Q187" s="637"/>
    </row>
    <row r="188" spans="1:19" s="242" customFormat="1" ht="15" customHeight="1">
      <c r="A188" s="689"/>
      <c r="B188" s="691"/>
      <c r="C188" s="691"/>
      <c r="D188" s="691"/>
      <c r="E188" s="600"/>
      <c r="F188" s="759" t="str">
        <f>'RAB 2.2.6'!I21</f>
        <v>- Ka. Kelompok</v>
      </c>
      <c r="G188" s="759"/>
      <c r="H188" s="697"/>
      <c r="I188" s="697"/>
      <c r="J188" s="697"/>
      <c r="K188" s="697"/>
      <c r="L188" s="697"/>
      <c r="M188" s="690"/>
      <c r="N188" s="605">
        <f>'RAB 2.2.6'!S21</f>
        <v>680000</v>
      </c>
      <c r="O188" s="605"/>
      <c r="P188" s="605"/>
      <c r="Q188" s="637"/>
    </row>
    <row r="189" spans="1:19" s="242" customFormat="1" ht="15" customHeight="1">
      <c r="A189" s="451"/>
      <c r="B189" s="451"/>
      <c r="C189" s="451"/>
      <c r="D189" s="451"/>
      <c r="E189" s="641"/>
      <c r="F189" s="616"/>
      <c r="G189" s="616"/>
      <c r="H189" s="616"/>
      <c r="I189" s="616"/>
      <c r="J189" s="616"/>
      <c r="K189" s="616"/>
      <c r="L189" s="616"/>
      <c r="M189" s="451"/>
      <c r="N189" s="642"/>
      <c r="O189" s="642"/>
      <c r="P189" s="642"/>
      <c r="Q189" s="643"/>
    </row>
    <row r="190" spans="1:19" s="242" customFormat="1" ht="15" customHeight="1">
      <c r="A190" s="286"/>
      <c r="B190" s="286"/>
      <c r="C190" s="286"/>
      <c r="D190" s="286"/>
      <c r="E190" s="644"/>
      <c r="F190" s="682"/>
      <c r="G190" s="682"/>
      <c r="H190" s="682"/>
      <c r="I190" s="682"/>
      <c r="J190" s="682"/>
      <c r="K190" s="682"/>
      <c r="L190" s="682"/>
      <c r="M190" s="286"/>
      <c r="N190" s="645"/>
      <c r="O190" s="645"/>
      <c r="P190" s="645"/>
      <c r="Q190" s="646"/>
    </row>
    <row r="191" spans="1:19" s="242" customFormat="1" ht="15" customHeight="1">
      <c r="A191" s="286"/>
      <c r="B191" s="286"/>
      <c r="C191" s="286"/>
      <c r="D191" s="286"/>
      <c r="E191" s="644"/>
      <c r="F191" s="682"/>
      <c r="G191" s="682"/>
      <c r="H191" s="682"/>
      <c r="I191" s="682"/>
      <c r="J191" s="682"/>
      <c r="K191" s="682"/>
      <c r="L191" s="682"/>
      <c r="M191" s="286"/>
      <c r="N191" s="645"/>
      <c r="O191" s="645"/>
      <c r="P191" s="645"/>
      <c r="Q191" s="646"/>
    </row>
    <row r="192" spans="1:19" s="242" customFormat="1" ht="15" customHeight="1">
      <c r="A192" s="286"/>
      <c r="B192" s="286"/>
      <c r="C192" s="286"/>
      <c r="D192" s="286"/>
      <c r="E192" s="644"/>
      <c r="F192" s="682"/>
      <c r="G192" s="682"/>
      <c r="H192" s="682"/>
      <c r="I192" s="682"/>
      <c r="J192" s="682"/>
      <c r="K192" s="682"/>
      <c r="L192" s="682"/>
      <c r="M192" s="286"/>
      <c r="N192" s="645"/>
      <c r="O192" s="645"/>
      <c r="P192" s="645"/>
      <c r="Q192" s="646"/>
    </row>
    <row r="193" spans="1:17" s="242" customFormat="1" ht="15" customHeight="1">
      <c r="A193" s="286"/>
      <c r="B193" s="286"/>
      <c r="C193" s="286"/>
      <c r="D193" s="286"/>
      <c r="E193" s="644"/>
      <c r="F193" s="682"/>
      <c r="G193" s="682"/>
      <c r="H193" s="682"/>
      <c r="I193" s="682"/>
      <c r="J193" s="682"/>
      <c r="K193" s="682"/>
      <c r="L193" s="682"/>
      <c r="M193" s="286"/>
      <c r="N193" s="645"/>
      <c r="O193" s="645"/>
      <c r="P193" s="645"/>
      <c r="Q193" s="646"/>
    </row>
    <row r="194" spans="1:17" s="242" customFormat="1" ht="15" customHeight="1">
      <c r="A194" s="286"/>
      <c r="B194" s="286"/>
      <c r="C194" s="286"/>
      <c r="D194" s="286"/>
      <c r="E194" s="644"/>
      <c r="F194" s="682"/>
      <c r="G194" s="682"/>
      <c r="H194" s="682"/>
      <c r="I194" s="682"/>
      <c r="J194" s="682"/>
      <c r="K194" s="682"/>
      <c r="L194" s="682"/>
      <c r="M194" s="286"/>
      <c r="N194" s="645"/>
      <c r="O194" s="645"/>
      <c r="P194" s="645"/>
      <c r="Q194" s="646"/>
    </row>
    <row r="195" spans="1:17" s="242" customFormat="1" ht="15" customHeight="1">
      <c r="A195" s="286"/>
      <c r="B195" s="286"/>
      <c r="C195" s="286"/>
      <c r="D195" s="286"/>
      <c r="E195" s="644"/>
      <c r="F195" s="682"/>
      <c r="G195" s="682"/>
      <c r="H195" s="682"/>
      <c r="I195" s="682"/>
      <c r="J195" s="682"/>
      <c r="K195" s="682"/>
      <c r="L195" s="682"/>
      <c r="M195" s="286"/>
      <c r="N195" s="645"/>
      <c r="O195" s="645"/>
      <c r="P195" s="645"/>
      <c r="Q195" s="646"/>
    </row>
    <row r="196" spans="1:17" s="242" customFormat="1" ht="15" customHeight="1">
      <c r="A196" s="670"/>
      <c r="B196" s="670"/>
      <c r="C196" s="670"/>
      <c r="D196" s="670"/>
      <c r="E196" s="647"/>
      <c r="F196" s="617"/>
      <c r="G196" s="617"/>
      <c r="H196" s="617"/>
      <c r="I196" s="617"/>
      <c r="J196" s="617"/>
      <c r="K196" s="617"/>
      <c r="L196" s="617"/>
      <c r="M196" s="670"/>
      <c r="N196" s="648"/>
      <c r="O196" s="648"/>
      <c r="P196" s="648"/>
      <c r="Q196" s="649"/>
    </row>
    <row r="197" spans="1:17" s="242" customFormat="1" ht="15" customHeight="1">
      <c r="A197" s="689">
        <v>2</v>
      </c>
      <c r="B197" s="691">
        <v>2</v>
      </c>
      <c r="C197" s="691">
        <v>6</v>
      </c>
      <c r="D197" s="691">
        <v>2</v>
      </c>
      <c r="E197" s="758" t="s">
        <v>511</v>
      </c>
      <c r="F197" s="759"/>
      <c r="G197" s="759"/>
      <c r="H197" s="759"/>
      <c r="I197" s="759"/>
      <c r="J197" s="759"/>
      <c r="K197" s="759"/>
      <c r="L197" s="759"/>
      <c r="M197" s="690"/>
      <c r="N197" s="598">
        <f>SUM(N198:N238)</f>
        <v>16632250</v>
      </c>
      <c r="O197" s="598"/>
      <c r="P197" s="598"/>
      <c r="Q197" s="637"/>
    </row>
    <row r="198" spans="1:17" s="242" customFormat="1" ht="15" customHeight="1">
      <c r="A198" s="689"/>
      <c r="B198" s="691"/>
      <c r="C198" s="691"/>
      <c r="D198" s="691"/>
      <c r="E198" s="696"/>
      <c r="F198" s="697" t="str">
        <f>'RAB 2.2.6'!I24</f>
        <v>Pasir Pasang</v>
      </c>
      <c r="G198" s="697"/>
      <c r="H198" s="697"/>
      <c r="I198" s="697"/>
      <c r="J198" s="697"/>
      <c r="K198" s="697"/>
      <c r="L198" s="697"/>
      <c r="M198" s="690"/>
      <c r="N198" s="605">
        <f>'RAB 2.2.6'!S24</f>
        <v>1350000</v>
      </c>
      <c r="O198" s="605"/>
      <c r="P198" s="605"/>
      <c r="Q198" s="637"/>
    </row>
    <row r="199" spans="1:17" s="242" customFormat="1" ht="15" customHeight="1">
      <c r="A199" s="689"/>
      <c r="B199" s="691"/>
      <c r="C199" s="691"/>
      <c r="D199" s="691"/>
      <c r="E199" s="696"/>
      <c r="F199" s="697" t="str">
        <f>'RAB 2.2.6'!I25</f>
        <v>Batu Gunung</v>
      </c>
      <c r="G199" s="697"/>
      <c r="H199" s="697"/>
      <c r="I199" s="697"/>
      <c r="J199" s="697"/>
      <c r="K199" s="697"/>
      <c r="L199" s="697"/>
      <c r="M199" s="690"/>
      <c r="N199" s="605">
        <f>'RAB 2.2.6'!S25</f>
        <v>1433250</v>
      </c>
      <c r="O199" s="605"/>
      <c r="P199" s="605"/>
      <c r="Q199" s="637"/>
    </row>
    <row r="200" spans="1:17" s="242" customFormat="1" ht="15" customHeight="1">
      <c r="A200" s="689"/>
      <c r="B200" s="691"/>
      <c r="C200" s="691"/>
      <c r="D200" s="691"/>
      <c r="E200" s="696"/>
      <c r="F200" s="697" t="str">
        <f>'RAB 2.2.6'!I26</f>
        <v>Semen</v>
      </c>
      <c r="G200" s="697"/>
      <c r="H200" s="697"/>
      <c r="I200" s="697"/>
      <c r="J200" s="697"/>
      <c r="K200" s="697"/>
      <c r="L200" s="697"/>
      <c r="M200" s="690"/>
      <c r="N200" s="605">
        <f>'RAB 2.2.6'!S26</f>
        <v>2860000</v>
      </c>
      <c r="O200" s="605"/>
      <c r="P200" s="605"/>
      <c r="Q200" s="637"/>
    </row>
    <row r="201" spans="1:17" s="242" customFormat="1" ht="15" customHeight="1">
      <c r="A201" s="689"/>
      <c r="B201" s="691"/>
      <c r="C201" s="691"/>
      <c r="D201" s="691"/>
      <c r="E201" s="696"/>
      <c r="F201" s="697" t="str">
        <f>'RAB 2.2.6'!I27</f>
        <v>Pasir urung</v>
      </c>
      <c r="G201" s="697"/>
      <c r="H201" s="697"/>
      <c r="I201" s="697"/>
      <c r="J201" s="697"/>
      <c r="K201" s="697"/>
      <c r="L201" s="697"/>
      <c r="M201" s="690"/>
      <c r="N201" s="605">
        <f>'RAB 2.2.6'!S27</f>
        <v>170000</v>
      </c>
      <c r="O201" s="605"/>
      <c r="P201" s="605"/>
      <c r="Q201" s="637"/>
    </row>
    <row r="202" spans="1:17" s="242" customFormat="1" ht="15" customHeight="1">
      <c r="A202" s="689"/>
      <c r="B202" s="691"/>
      <c r="C202" s="691"/>
      <c r="D202" s="691"/>
      <c r="E202" s="696"/>
      <c r="F202" s="697" t="str">
        <f>'RAB 2.2.6'!I28</f>
        <v>Batu Bata</v>
      </c>
      <c r="G202" s="697"/>
      <c r="H202" s="697"/>
      <c r="I202" s="697"/>
      <c r="J202" s="697"/>
      <c r="K202" s="697"/>
      <c r="L202" s="697"/>
      <c r="M202" s="690"/>
      <c r="N202" s="605">
        <f>'RAB 2.2.6'!S28</f>
        <v>1044000</v>
      </c>
      <c r="O202" s="605"/>
      <c r="P202" s="605"/>
      <c r="Q202" s="637"/>
    </row>
    <row r="203" spans="1:17" s="242" customFormat="1" ht="15" customHeight="1">
      <c r="A203" s="689"/>
      <c r="B203" s="691"/>
      <c r="C203" s="691"/>
      <c r="D203" s="691"/>
      <c r="E203" s="696"/>
      <c r="F203" s="697" t="str">
        <f>'RAB 2.2.6'!I29</f>
        <v>Kerikil</v>
      </c>
      <c r="G203" s="697"/>
      <c r="H203" s="697"/>
      <c r="I203" s="697"/>
      <c r="J203" s="697"/>
      <c r="K203" s="697"/>
      <c r="L203" s="697"/>
      <c r="M203" s="690"/>
      <c r="N203" s="605">
        <f>'RAB 2.2.6'!S29</f>
        <v>625000</v>
      </c>
      <c r="O203" s="605"/>
      <c r="P203" s="605"/>
      <c r="Q203" s="637"/>
    </row>
    <row r="204" spans="1:17" s="242" customFormat="1" ht="15" customHeight="1">
      <c r="A204" s="689"/>
      <c r="B204" s="691"/>
      <c r="C204" s="691"/>
      <c r="D204" s="691"/>
      <c r="E204" s="696"/>
      <c r="F204" s="697" t="str">
        <f>'RAB 2.2.6'!I30</f>
        <v>Keramik 20/20</v>
      </c>
      <c r="G204" s="697"/>
      <c r="H204" s="697"/>
      <c r="I204" s="697"/>
      <c r="J204" s="697"/>
      <c r="K204" s="697"/>
      <c r="L204" s="697"/>
      <c r="M204" s="690"/>
      <c r="N204" s="605">
        <f>'RAB 2.2.6'!S30</f>
        <v>360000</v>
      </c>
      <c r="O204" s="605"/>
      <c r="P204" s="605"/>
      <c r="Q204" s="637"/>
    </row>
    <row r="205" spans="1:17" s="242" customFormat="1" ht="15" customHeight="1">
      <c r="A205" s="689"/>
      <c r="B205" s="691"/>
      <c r="C205" s="691"/>
      <c r="D205" s="691"/>
      <c r="E205" s="696"/>
      <c r="F205" s="697" t="str">
        <f>'RAB 2.2.6'!I31</f>
        <v>Keranik 40/40</v>
      </c>
      <c r="G205" s="697"/>
      <c r="H205" s="697"/>
      <c r="I205" s="697"/>
      <c r="J205" s="697"/>
      <c r="K205" s="697"/>
      <c r="L205" s="697"/>
      <c r="M205" s="690"/>
      <c r="N205" s="605">
        <f>'RAB 2.2.6'!S31</f>
        <v>840000</v>
      </c>
      <c r="O205" s="605"/>
      <c r="P205" s="605"/>
      <c r="Q205" s="637"/>
    </row>
    <row r="206" spans="1:17" s="242" customFormat="1" ht="15" customHeight="1">
      <c r="A206" s="689"/>
      <c r="B206" s="691"/>
      <c r="C206" s="691"/>
      <c r="D206" s="691"/>
      <c r="E206" s="696"/>
      <c r="F206" s="697" t="str">
        <f>'RAB 2.2.6'!I32</f>
        <v>Papan 2/20</v>
      </c>
      <c r="G206" s="697"/>
      <c r="H206" s="697"/>
      <c r="I206" s="697"/>
      <c r="J206" s="697"/>
      <c r="K206" s="697"/>
      <c r="L206" s="697"/>
      <c r="M206" s="690"/>
      <c r="N206" s="605">
        <f>'RAB 2.2.6'!S32</f>
        <v>560000</v>
      </c>
      <c r="O206" s="605"/>
      <c r="P206" s="605"/>
      <c r="Q206" s="637"/>
    </row>
    <row r="207" spans="1:17" s="242" customFormat="1" ht="15" customHeight="1">
      <c r="A207" s="689"/>
      <c r="B207" s="691"/>
      <c r="C207" s="691"/>
      <c r="D207" s="691"/>
      <c r="E207" s="696"/>
      <c r="F207" s="697" t="str">
        <f>'RAB 2.2.6'!I33</f>
        <v>Balok 6/12</v>
      </c>
      <c r="G207" s="697"/>
      <c r="H207" s="697"/>
      <c r="I207" s="697"/>
      <c r="J207" s="697"/>
      <c r="K207" s="697"/>
      <c r="L207" s="697"/>
      <c r="M207" s="690"/>
      <c r="N207" s="605">
        <f>'RAB 2.2.6'!S33</f>
        <v>320000</v>
      </c>
      <c r="O207" s="605"/>
      <c r="P207" s="605"/>
      <c r="Q207" s="637"/>
    </row>
    <row r="208" spans="1:17" s="242" customFormat="1" ht="15" customHeight="1">
      <c r="A208" s="689"/>
      <c r="B208" s="691"/>
      <c r="C208" s="691"/>
      <c r="D208" s="691"/>
      <c r="E208" s="696"/>
      <c r="F208" s="697" t="str">
        <f>'RAB 2.2.6'!I34</f>
        <v>Balok 5/7</v>
      </c>
      <c r="G208" s="697"/>
      <c r="H208" s="697"/>
      <c r="I208" s="697"/>
      <c r="J208" s="697"/>
      <c r="K208" s="697"/>
      <c r="L208" s="697"/>
      <c r="M208" s="690"/>
      <c r="N208" s="605">
        <f>'RAB 2.2.6'!S34</f>
        <v>1080000</v>
      </c>
      <c r="O208" s="605"/>
      <c r="P208" s="605"/>
      <c r="Q208" s="637"/>
    </row>
    <row r="209" spans="1:17" s="242" customFormat="1" ht="15" customHeight="1">
      <c r="A209" s="689"/>
      <c r="B209" s="691"/>
      <c r="C209" s="691"/>
      <c r="D209" s="691"/>
      <c r="E209" s="696"/>
      <c r="F209" s="697" t="str">
        <f>'RAB 2.2.6'!I35</f>
        <v>Paku Kayu</v>
      </c>
      <c r="G209" s="697"/>
      <c r="H209" s="697"/>
      <c r="I209" s="697"/>
      <c r="J209" s="697"/>
      <c r="K209" s="697"/>
      <c r="L209" s="697"/>
      <c r="M209" s="690"/>
      <c r="N209" s="605">
        <f>'RAB 2.2.6'!S35</f>
        <v>75000</v>
      </c>
      <c r="O209" s="605"/>
      <c r="P209" s="605"/>
      <c r="Q209" s="637"/>
    </row>
    <row r="210" spans="1:17" s="242" customFormat="1" ht="15" customHeight="1">
      <c r="A210" s="689"/>
      <c r="B210" s="691"/>
      <c r="C210" s="691"/>
      <c r="D210" s="691"/>
      <c r="E210" s="696"/>
      <c r="F210" s="697" t="str">
        <f>'RAB 2.2.6'!I36</f>
        <v>Seng</v>
      </c>
      <c r="G210" s="697"/>
      <c r="H210" s="697"/>
      <c r="I210" s="697"/>
      <c r="J210" s="697"/>
      <c r="K210" s="697"/>
      <c r="L210" s="697"/>
      <c r="M210" s="690"/>
      <c r="N210" s="605">
        <f>'RAB 2.2.6'!S36</f>
        <v>1001000</v>
      </c>
      <c r="O210" s="605"/>
      <c r="P210" s="605"/>
      <c r="Q210" s="637"/>
    </row>
    <row r="211" spans="1:17" s="242" customFormat="1" ht="15" customHeight="1">
      <c r="A211" s="689"/>
      <c r="B211" s="691"/>
      <c r="C211" s="691"/>
      <c r="D211" s="691"/>
      <c r="E211" s="696"/>
      <c r="F211" s="697" t="str">
        <f>'RAB 2.2.6'!I37</f>
        <v>Nok Seng</v>
      </c>
      <c r="G211" s="697"/>
      <c r="H211" s="697"/>
      <c r="I211" s="697"/>
      <c r="J211" s="697"/>
      <c r="K211" s="697"/>
      <c r="L211" s="697"/>
      <c r="M211" s="690"/>
      <c r="N211" s="605">
        <f>'RAB 2.2.6'!S37</f>
        <v>150000</v>
      </c>
      <c r="O211" s="605"/>
      <c r="P211" s="605"/>
      <c r="Q211" s="637"/>
    </row>
    <row r="212" spans="1:17" s="242" customFormat="1" ht="15" customHeight="1">
      <c r="A212" s="689"/>
      <c r="B212" s="691"/>
      <c r="C212" s="691"/>
      <c r="D212" s="691"/>
      <c r="E212" s="696"/>
      <c r="F212" s="697" t="str">
        <f>'RAB 2.2.6'!I38</f>
        <v>Paku Seng</v>
      </c>
      <c r="G212" s="697"/>
      <c r="H212" s="697"/>
      <c r="I212" s="697"/>
      <c r="J212" s="697"/>
      <c r="K212" s="697"/>
      <c r="L212" s="697"/>
      <c r="M212" s="690"/>
      <c r="N212" s="605">
        <f>'RAB 2.2.6'!S38</f>
        <v>21000</v>
      </c>
      <c r="O212" s="605"/>
      <c r="P212" s="605"/>
      <c r="Q212" s="637"/>
    </row>
    <row r="213" spans="1:17" s="242" customFormat="1" ht="15" customHeight="1">
      <c r="A213" s="689"/>
      <c r="B213" s="691"/>
      <c r="C213" s="691"/>
      <c r="D213" s="691"/>
      <c r="E213" s="696"/>
      <c r="F213" s="697" t="str">
        <f>'RAB 2.2.6'!I39</f>
        <v>Kaca t=5 mm</v>
      </c>
      <c r="G213" s="697"/>
      <c r="H213" s="697"/>
      <c r="I213" s="697"/>
      <c r="J213" s="697"/>
      <c r="K213" s="697"/>
      <c r="L213" s="697"/>
      <c r="M213" s="690"/>
      <c r="N213" s="605">
        <f>'RAB 2.2.6'!S39</f>
        <v>67500</v>
      </c>
      <c r="O213" s="605"/>
      <c r="P213" s="605"/>
      <c r="Q213" s="637"/>
    </row>
    <row r="214" spans="1:17" s="242" customFormat="1" ht="15" customHeight="1">
      <c r="A214" s="689"/>
      <c r="B214" s="691"/>
      <c r="C214" s="691"/>
      <c r="D214" s="691"/>
      <c r="E214" s="696"/>
      <c r="F214" s="697" t="str">
        <f>'RAB 2.2.6'!I40</f>
        <v>Besi Beton D 10 mm</v>
      </c>
      <c r="G214" s="697"/>
      <c r="H214" s="697"/>
      <c r="I214" s="697"/>
      <c r="J214" s="697"/>
      <c r="K214" s="697"/>
      <c r="L214" s="697"/>
      <c r="M214" s="690"/>
      <c r="N214" s="605">
        <f>'RAB 2.2.6'!S40</f>
        <v>1170000</v>
      </c>
      <c r="O214" s="605"/>
      <c r="P214" s="605"/>
      <c r="Q214" s="637"/>
    </row>
    <row r="215" spans="1:17" s="242" customFormat="1" ht="15" customHeight="1">
      <c r="A215" s="689"/>
      <c r="B215" s="691"/>
      <c r="C215" s="691"/>
      <c r="D215" s="691"/>
      <c r="E215" s="696"/>
      <c r="F215" s="697" t="str">
        <f>'RAB 2.2.6'!I41</f>
        <v>Besi Beton D 6 mm</v>
      </c>
      <c r="G215" s="697"/>
      <c r="H215" s="697"/>
      <c r="I215" s="697"/>
      <c r="J215" s="697"/>
      <c r="K215" s="697"/>
      <c r="L215" s="697"/>
      <c r="M215" s="690"/>
      <c r="N215" s="605">
        <f>'RAB 2.2.6'!S41</f>
        <v>242000</v>
      </c>
      <c r="O215" s="605"/>
      <c r="P215" s="605"/>
      <c r="Q215" s="637"/>
    </row>
    <row r="216" spans="1:17" s="242" customFormat="1" ht="15" customHeight="1">
      <c r="A216" s="689"/>
      <c r="B216" s="691"/>
      <c r="C216" s="691"/>
      <c r="D216" s="691"/>
      <c r="E216" s="696"/>
      <c r="F216" s="697" t="str">
        <f>'RAB 2.2.6'!I42</f>
        <v>Bendrat</v>
      </c>
      <c r="G216" s="697"/>
      <c r="H216" s="697"/>
      <c r="I216" s="697"/>
      <c r="J216" s="697"/>
      <c r="K216" s="697"/>
      <c r="L216" s="697"/>
      <c r="M216" s="690"/>
      <c r="N216" s="605">
        <f>'RAB 2.2.6'!S42</f>
        <v>180000</v>
      </c>
      <c r="O216" s="605"/>
      <c r="P216" s="605"/>
      <c r="Q216" s="637"/>
    </row>
    <row r="217" spans="1:17" s="242" customFormat="1" ht="15" customHeight="1">
      <c r="A217" s="689"/>
      <c r="B217" s="691"/>
      <c r="C217" s="691"/>
      <c r="D217" s="691"/>
      <c r="E217" s="696"/>
      <c r="F217" s="697" t="str">
        <f>'RAB 2.2.6'!I43</f>
        <v>Cat Kayu</v>
      </c>
      <c r="G217" s="697"/>
      <c r="H217" s="697"/>
      <c r="I217" s="697"/>
      <c r="J217" s="697"/>
      <c r="K217" s="697"/>
      <c r="L217" s="697"/>
      <c r="M217" s="690"/>
      <c r="N217" s="605">
        <f>'RAB 2.2.6'!S43</f>
        <v>57600</v>
      </c>
      <c r="O217" s="605"/>
      <c r="P217" s="605"/>
      <c r="Q217" s="637"/>
    </row>
    <row r="218" spans="1:17" s="242" customFormat="1" ht="15" customHeight="1">
      <c r="A218" s="689"/>
      <c r="B218" s="691"/>
      <c r="C218" s="691"/>
      <c r="D218" s="691"/>
      <c r="E218" s="696"/>
      <c r="F218" s="697" t="str">
        <f>'RAB 2.2.6'!I44</f>
        <v>Cat Tembok</v>
      </c>
      <c r="G218" s="697"/>
      <c r="H218" s="697"/>
      <c r="I218" s="697"/>
      <c r="J218" s="697"/>
      <c r="K218" s="697"/>
      <c r="L218" s="697"/>
      <c r="M218" s="690"/>
      <c r="N218" s="605">
        <f>'RAB 2.2.6'!S44</f>
        <v>125000</v>
      </c>
      <c r="O218" s="605"/>
      <c r="P218" s="605"/>
      <c r="Q218" s="637"/>
    </row>
    <row r="219" spans="1:17" s="242" customFormat="1" ht="15" customHeight="1">
      <c r="A219" s="689"/>
      <c r="B219" s="691"/>
      <c r="C219" s="691"/>
      <c r="D219" s="691"/>
      <c r="E219" s="696"/>
      <c r="F219" s="697" t="str">
        <f>'RAB 2.2.6'!I45</f>
        <v>Menie Kayu</v>
      </c>
      <c r="G219" s="697"/>
      <c r="H219" s="697"/>
      <c r="I219" s="697"/>
      <c r="J219" s="697"/>
      <c r="K219" s="697"/>
      <c r="L219" s="697"/>
      <c r="M219" s="690"/>
      <c r="N219" s="605">
        <f>'RAB 2.2.6'!S45</f>
        <v>22500</v>
      </c>
      <c r="O219" s="605"/>
      <c r="P219" s="605"/>
      <c r="Q219" s="637"/>
    </row>
    <row r="220" spans="1:17" s="242" customFormat="1" ht="15" customHeight="1">
      <c r="A220" s="689"/>
      <c r="B220" s="691"/>
      <c r="C220" s="691"/>
      <c r="D220" s="691"/>
      <c r="E220" s="696"/>
      <c r="F220" s="697" t="str">
        <f>'RAB 2.2.6'!I46</f>
        <v>Pintu PVC</v>
      </c>
      <c r="G220" s="697"/>
      <c r="H220" s="697"/>
      <c r="I220" s="697"/>
      <c r="J220" s="697"/>
      <c r="K220" s="697"/>
      <c r="L220" s="697"/>
      <c r="M220" s="690"/>
      <c r="N220" s="605">
        <f>'RAB 2.2.6'!S46</f>
        <v>300000</v>
      </c>
      <c r="O220" s="605"/>
      <c r="P220" s="605"/>
      <c r="Q220" s="637"/>
    </row>
    <row r="221" spans="1:17" s="242" customFormat="1" ht="15" customHeight="1">
      <c r="A221" s="689"/>
      <c r="B221" s="691"/>
      <c r="C221" s="691"/>
      <c r="D221" s="691"/>
      <c r="E221" s="696"/>
      <c r="F221" s="697" t="str">
        <f>'RAB 2.2.6'!I47</f>
        <v>Kayu Bekisting Kls III</v>
      </c>
      <c r="G221" s="697"/>
      <c r="H221" s="697"/>
      <c r="I221" s="697"/>
      <c r="J221" s="697"/>
      <c r="K221" s="697"/>
      <c r="L221" s="697"/>
      <c r="M221" s="690"/>
      <c r="N221" s="605">
        <f>'RAB 2.2.6'!S47</f>
        <v>150000</v>
      </c>
      <c r="O221" s="605"/>
      <c r="P221" s="605"/>
      <c r="Q221" s="637"/>
    </row>
    <row r="222" spans="1:17" s="242" customFormat="1" ht="15" customHeight="1">
      <c r="A222" s="689"/>
      <c r="B222" s="691"/>
      <c r="C222" s="691"/>
      <c r="D222" s="691"/>
      <c r="E222" s="600"/>
      <c r="F222" s="697" t="str">
        <f>'RAB 2.2.6'!I48</f>
        <v>Kuncian Pintu</v>
      </c>
      <c r="G222" s="697"/>
      <c r="H222" s="697"/>
      <c r="I222" s="697"/>
      <c r="J222" s="697"/>
      <c r="K222" s="697"/>
      <c r="L222" s="697"/>
      <c r="M222" s="690"/>
      <c r="N222" s="605">
        <f>'RAB 2.2.6'!S48</f>
        <v>70000</v>
      </c>
      <c r="O222" s="605"/>
      <c r="P222" s="605"/>
      <c r="Q222" s="637"/>
    </row>
    <row r="223" spans="1:17" s="242" customFormat="1" ht="15" customHeight="1">
      <c r="A223" s="689"/>
      <c r="B223" s="691"/>
      <c r="C223" s="691"/>
      <c r="D223" s="691"/>
      <c r="E223" s="600"/>
      <c r="F223" s="697" t="str">
        <f>'RAB 2.2.6'!I49</f>
        <v>Grandel Pintu</v>
      </c>
      <c r="G223" s="697"/>
      <c r="H223" s="697"/>
      <c r="I223" s="697"/>
      <c r="J223" s="697"/>
      <c r="K223" s="697"/>
      <c r="L223" s="697"/>
      <c r="M223" s="690"/>
      <c r="N223" s="605">
        <f>'RAB 2.2.6'!S49</f>
        <v>3500</v>
      </c>
      <c r="O223" s="605"/>
      <c r="P223" s="605"/>
      <c r="Q223" s="637"/>
    </row>
    <row r="224" spans="1:17" s="242" customFormat="1" ht="15" customHeight="1">
      <c r="A224" s="689"/>
      <c r="B224" s="691"/>
      <c r="C224" s="691"/>
      <c r="D224" s="691"/>
      <c r="E224" s="600"/>
      <c r="F224" s="697" t="str">
        <f>'RAB 2.2.6'!I50</f>
        <v>Engsel Pintu</v>
      </c>
      <c r="G224" s="697"/>
      <c r="H224" s="697"/>
      <c r="I224" s="697"/>
      <c r="J224" s="697"/>
      <c r="K224" s="697"/>
      <c r="L224" s="697"/>
      <c r="M224" s="690"/>
      <c r="N224" s="605">
        <f>'RAB 2.2.6'!S50</f>
        <v>15000</v>
      </c>
      <c r="O224" s="605"/>
      <c r="P224" s="605"/>
      <c r="Q224" s="637"/>
    </row>
    <row r="225" spans="1:17" s="242" customFormat="1" ht="15" customHeight="1">
      <c r="A225" s="689"/>
      <c r="B225" s="691"/>
      <c r="C225" s="691"/>
      <c r="D225" s="691"/>
      <c r="E225" s="600"/>
      <c r="F225" s="697" t="str">
        <f>'RAB 2.2.6'!I51</f>
        <v>Engsel Jendela</v>
      </c>
      <c r="G225" s="697"/>
      <c r="H225" s="697"/>
      <c r="I225" s="697"/>
      <c r="J225" s="697"/>
      <c r="K225" s="697"/>
      <c r="L225" s="697"/>
      <c r="M225" s="690"/>
      <c r="N225" s="605">
        <f>'RAB 2.2.6'!S51</f>
        <v>51600</v>
      </c>
      <c r="O225" s="605"/>
      <c r="P225" s="605"/>
      <c r="Q225" s="637"/>
    </row>
    <row r="226" spans="1:17" s="242" customFormat="1" ht="15" customHeight="1">
      <c r="A226" s="689"/>
      <c r="B226" s="691"/>
      <c r="C226" s="691"/>
      <c r="D226" s="691"/>
      <c r="E226" s="600"/>
      <c r="F226" s="697" t="str">
        <f>'RAB 2.2.6'!I52</f>
        <v>Kait Angin</v>
      </c>
      <c r="G226" s="697"/>
      <c r="H226" s="697"/>
      <c r="I226" s="697"/>
      <c r="J226" s="697"/>
      <c r="K226" s="697"/>
      <c r="L226" s="697"/>
      <c r="M226" s="690"/>
      <c r="N226" s="605">
        <f>'RAB 2.2.6'!S52</f>
        <v>10000</v>
      </c>
      <c r="O226" s="605"/>
      <c r="P226" s="605"/>
      <c r="Q226" s="637"/>
    </row>
    <row r="227" spans="1:17" s="242" customFormat="1" ht="15" customHeight="1">
      <c r="A227" s="689"/>
      <c r="B227" s="691"/>
      <c r="C227" s="691"/>
      <c r="D227" s="691"/>
      <c r="E227" s="600"/>
      <c r="F227" s="697" t="str">
        <f>'RAB 2.2.6'!I53</f>
        <v>Closet</v>
      </c>
      <c r="G227" s="697"/>
      <c r="H227" s="697"/>
      <c r="I227" s="697"/>
      <c r="J227" s="697"/>
      <c r="K227" s="697"/>
      <c r="L227" s="697"/>
      <c r="M227" s="690"/>
      <c r="N227" s="605">
        <f>'RAB 2.2.6'!S53</f>
        <v>170000</v>
      </c>
      <c r="O227" s="605"/>
      <c r="P227" s="605"/>
      <c r="Q227" s="637"/>
    </row>
    <row r="228" spans="1:17" s="242" customFormat="1" ht="15" customHeight="1">
      <c r="A228" s="689"/>
      <c r="B228" s="691"/>
      <c r="C228" s="691"/>
      <c r="D228" s="691"/>
      <c r="E228" s="600"/>
      <c r="F228" s="697" t="str">
        <f>'RAB 2.2.6'!I54</f>
        <v>Pipa Ø 3"</v>
      </c>
      <c r="G228" s="697"/>
      <c r="H228" s="697"/>
      <c r="I228" s="697"/>
      <c r="J228" s="697"/>
      <c r="K228" s="697"/>
      <c r="L228" s="697"/>
      <c r="M228" s="690"/>
      <c r="N228" s="605">
        <f>'RAB 2.2.6'!S54</f>
        <v>130000</v>
      </c>
      <c r="O228" s="605"/>
      <c r="P228" s="605"/>
      <c r="Q228" s="637"/>
    </row>
    <row r="229" spans="1:17" s="242" customFormat="1" ht="15" customHeight="1">
      <c r="A229" s="689"/>
      <c r="B229" s="691"/>
      <c r="C229" s="691"/>
      <c r="D229" s="691"/>
      <c r="E229" s="600"/>
      <c r="F229" s="697" t="str">
        <f>'RAB 2.2.6'!I55</f>
        <v>Ellow Ø 3"</v>
      </c>
      <c r="G229" s="697"/>
      <c r="H229" s="697"/>
      <c r="I229" s="697"/>
      <c r="J229" s="697"/>
      <c r="K229" s="697"/>
      <c r="L229" s="697"/>
      <c r="M229" s="690"/>
      <c r="N229" s="605">
        <f>'RAB 2.2.6'!S55</f>
        <v>13000</v>
      </c>
      <c r="O229" s="605"/>
      <c r="P229" s="605"/>
      <c r="Q229" s="637"/>
    </row>
    <row r="230" spans="1:17" s="242" customFormat="1" ht="15" customHeight="1">
      <c r="A230" s="689"/>
      <c r="B230" s="691"/>
      <c r="C230" s="691"/>
      <c r="D230" s="691"/>
      <c r="E230" s="600"/>
      <c r="F230" s="697" t="str">
        <f>'RAB 2.2.6'!I56</f>
        <v>Ellow Ø 1"</v>
      </c>
      <c r="G230" s="697"/>
      <c r="H230" s="697"/>
      <c r="I230" s="697"/>
      <c r="J230" s="697"/>
      <c r="K230" s="697"/>
      <c r="L230" s="697"/>
      <c r="M230" s="690"/>
      <c r="N230" s="605">
        <f>'RAB 2.2.6'!S56</f>
        <v>7000</v>
      </c>
      <c r="O230" s="605"/>
      <c r="P230" s="605"/>
      <c r="Q230" s="637"/>
    </row>
    <row r="231" spans="1:17" s="242" customFormat="1" ht="15" customHeight="1">
      <c r="A231" s="689"/>
      <c r="B231" s="691"/>
      <c r="C231" s="691"/>
      <c r="D231" s="691"/>
      <c r="E231" s="600"/>
      <c r="F231" s="697" t="str">
        <f>'RAB 2.2.6'!I57</f>
        <v>Pipa Ø 1/2"</v>
      </c>
      <c r="G231" s="697"/>
      <c r="H231" s="697"/>
      <c r="I231" s="697"/>
      <c r="J231" s="697"/>
      <c r="K231" s="697"/>
      <c r="L231" s="697"/>
      <c r="M231" s="690"/>
      <c r="N231" s="605">
        <f>'RAB 2.2.6'!S57</f>
        <v>100000</v>
      </c>
      <c r="O231" s="605"/>
      <c r="P231" s="605"/>
      <c r="Q231" s="637"/>
    </row>
    <row r="232" spans="1:17" s="242" customFormat="1" ht="15" customHeight="1">
      <c r="A232" s="689"/>
      <c r="B232" s="691"/>
      <c r="C232" s="691"/>
      <c r="D232" s="691"/>
      <c r="E232" s="600"/>
      <c r="F232" s="697" t="str">
        <f>'RAB 2.2.6'!I58</f>
        <v>Instalasi Listrik,Lampu</v>
      </c>
      <c r="G232" s="697"/>
      <c r="H232" s="697"/>
      <c r="I232" s="697"/>
      <c r="J232" s="697"/>
      <c r="K232" s="697"/>
      <c r="L232" s="697"/>
      <c r="M232" s="690"/>
      <c r="N232" s="605">
        <f>'RAB 2.2.6'!S58</f>
        <v>750000</v>
      </c>
      <c r="O232" s="605"/>
      <c r="P232" s="605"/>
      <c r="Q232" s="637"/>
    </row>
    <row r="233" spans="1:17" s="242" customFormat="1" ht="15" customHeight="1">
      <c r="A233" s="689"/>
      <c r="B233" s="691"/>
      <c r="C233" s="691"/>
      <c r="D233" s="691"/>
      <c r="E233" s="600"/>
      <c r="F233" s="697" t="str">
        <f>'RAB 2.2.6'!I59</f>
        <v>Urinior</v>
      </c>
      <c r="G233" s="697"/>
      <c r="H233" s="697"/>
      <c r="I233" s="697"/>
      <c r="J233" s="697"/>
      <c r="K233" s="697"/>
      <c r="L233" s="697"/>
      <c r="M233" s="690"/>
      <c r="N233" s="605">
        <f>'RAB 2.2.6'!S59</f>
        <v>20000</v>
      </c>
      <c r="O233" s="605"/>
      <c r="P233" s="605"/>
      <c r="Q233" s="637"/>
    </row>
    <row r="234" spans="1:17" s="242" customFormat="1" ht="15" customHeight="1">
      <c r="A234" s="689"/>
      <c r="B234" s="691"/>
      <c r="C234" s="691"/>
      <c r="D234" s="691"/>
      <c r="E234" s="600"/>
      <c r="F234" s="697" t="str">
        <f>'RAB 2.2.6'!I60</f>
        <v>Ember Besar</v>
      </c>
      <c r="G234" s="697"/>
      <c r="H234" s="697"/>
      <c r="I234" s="697"/>
      <c r="J234" s="697"/>
      <c r="K234" s="697"/>
      <c r="L234" s="697"/>
      <c r="M234" s="690"/>
      <c r="N234" s="605">
        <f>'RAB 2.2.6'!S60</f>
        <v>50000</v>
      </c>
      <c r="O234" s="605"/>
      <c r="P234" s="605"/>
      <c r="Q234" s="637"/>
    </row>
    <row r="235" spans="1:17" s="242" customFormat="1" ht="15" customHeight="1">
      <c r="A235" s="689"/>
      <c r="B235" s="691"/>
      <c r="C235" s="691"/>
      <c r="D235" s="691"/>
      <c r="E235" s="600"/>
      <c r="F235" s="697" t="str">
        <f>'RAB 2.2.6'!I61</f>
        <v>Kran Air</v>
      </c>
      <c r="G235" s="697"/>
      <c r="H235" s="697"/>
      <c r="I235" s="697"/>
      <c r="J235" s="697"/>
      <c r="K235" s="697"/>
      <c r="L235" s="697"/>
      <c r="M235" s="690"/>
      <c r="N235" s="605">
        <f>'RAB 2.2.6'!S61</f>
        <v>15000</v>
      </c>
      <c r="O235" s="605"/>
      <c r="P235" s="605"/>
      <c r="Q235" s="637"/>
    </row>
    <row r="236" spans="1:17" s="242" customFormat="1" ht="15" customHeight="1">
      <c r="A236" s="689"/>
      <c r="B236" s="691"/>
      <c r="C236" s="691"/>
      <c r="D236" s="691"/>
      <c r="E236" s="600"/>
      <c r="F236" s="697" t="str">
        <f>'RAB 2.2.6'!I62</f>
        <v>Alat Bantu</v>
      </c>
      <c r="G236" s="697"/>
      <c r="H236" s="697"/>
      <c r="I236" s="697"/>
      <c r="J236" s="697"/>
      <c r="K236" s="697"/>
      <c r="L236" s="697"/>
      <c r="M236" s="690"/>
      <c r="N236" s="605">
        <f>'RAB 2.2.6'!S62</f>
        <v>160000</v>
      </c>
      <c r="O236" s="605"/>
      <c r="P236" s="605"/>
      <c r="Q236" s="637"/>
    </row>
    <row r="237" spans="1:17" s="242" customFormat="1" ht="15" customHeight="1">
      <c r="A237" s="689"/>
      <c r="B237" s="691"/>
      <c r="C237" s="691"/>
      <c r="D237" s="691"/>
      <c r="E237" s="600"/>
      <c r="F237" s="697" t="str">
        <f>'RAB 2.2.6'!I63</f>
        <v>Grobak Dorong</v>
      </c>
      <c r="G237" s="697"/>
      <c r="H237" s="697"/>
      <c r="I237" s="697"/>
      <c r="J237" s="697"/>
      <c r="K237" s="697"/>
      <c r="L237" s="697"/>
      <c r="M237" s="690"/>
      <c r="N237" s="605">
        <f>'RAB 2.2.6'!S63</f>
        <v>413300</v>
      </c>
      <c r="O237" s="605"/>
      <c r="P237" s="605"/>
      <c r="Q237" s="637"/>
    </row>
    <row r="238" spans="1:17" s="242" customFormat="1" ht="15" customHeight="1">
      <c r="A238" s="689"/>
      <c r="B238" s="691"/>
      <c r="C238" s="691"/>
      <c r="D238" s="691"/>
      <c r="E238" s="600"/>
      <c r="F238" s="697" t="str">
        <f>'RAB 2.2.6'!I64</f>
        <v>Prasasti</v>
      </c>
      <c r="G238" s="697"/>
      <c r="H238" s="697"/>
      <c r="I238" s="697"/>
      <c r="J238" s="697"/>
      <c r="K238" s="697"/>
      <c r="L238" s="697"/>
      <c r="M238" s="690"/>
      <c r="N238" s="605">
        <f>'RAB 2.2.6'!S64</f>
        <v>450000</v>
      </c>
      <c r="O238" s="605"/>
      <c r="P238" s="605"/>
      <c r="Q238" s="637"/>
    </row>
    <row r="239" spans="1:17" s="242" customFormat="1" ht="15" customHeight="1">
      <c r="A239" s="689"/>
      <c r="B239" s="691"/>
      <c r="C239" s="691"/>
      <c r="D239" s="691"/>
      <c r="E239" s="600"/>
      <c r="F239" s="697"/>
      <c r="G239" s="697"/>
      <c r="H239" s="697"/>
      <c r="I239" s="697"/>
      <c r="J239" s="697"/>
      <c r="K239" s="697"/>
      <c r="L239" s="697"/>
      <c r="M239" s="690"/>
      <c r="N239" s="605"/>
      <c r="O239" s="605"/>
      <c r="P239" s="605"/>
      <c r="Q239" s="637"/>
    </row>
    <row r="240" spans="1:17" s="242" customFormat="1" ht="15" customHeight="1">
      <c r="A240" s="689">
        <v>2</v>
      </c>
      <c r="B240" s="691">
        <v>2</v>
      </c>
      <c r="C240" s="691">
        <v>7</v>
      </c>
      <c r="D240" s="691"/>
      <c r="E240" s="593" t="s">
        <v>425</v>
      </c>
      <c r="F240" s="594"/>
      <c r="G240" s="594"/>
      <c r="H240" s="594"/>
      <c r="I240" s="594"/>
      <c r="J240" s="594"/>
      <c r="K240" s="594"/>
      <c r="L240" s="594"/>
      <c r="M240" s="690"/>
      <c r="N240" s="598">
        <f>N241+N250</f>
        <v>18636500</v>
      </c>
      <c r="O240" s="598"/>
      <c r="P240" s="598"/>
      <c r="Q240" s="637" t="s">
        <v>288</v>
      </c>
    </row>
    <row r="241" spans="1:17" s="242" customFormat="1" ht="15" customHeight="1">
      <c r="A241" s="689">
        <v>2</v>
      </c>
      <c r="B241" s="691">
        <v>2</v>
      </c>
      <c r="C241" s="691">
        <v>7</v>
      </c>
      <c r="D241" s="691">
        <v>2</v>
      </c>
      <c r="E241" s="758" t="s">
        <v>29</v>
      </c>
      <c r="F241" s="759"/>
      <c r="G241" s="759"/>
      <c r="H241" s="759"/>
      <c r="I241" s="759"/>
      <c r="J241" s="759"/>
      <c r="K241" s="759"/>
      <c r="L241" s="759"/>
      <c r="M241" s="606"/>
      <c r="N241" s="598">
        <f>N242+N244+N246+N248+N249</f>
        <v>3636500</v>
      </c>
      <c r="O241" s="598"/>
      <c r="P241" s="598"/>
      <c r="Q241" s="637"/>
    </row>
    <row r="242" spans="1:17" s="242" customFormat="1" ht="15" customHeight="1">
      <c r="A242" s="689"/>
      <c r="B242" s="691"/>
      <c r="C242" s="691"/>
      <c r="D242" s="691"/>
      <c r="E242" s="707" t="s">
        <v>14</v>
      </c>
      <c r="F242" s="697" t="s">
        <v>504</v>
      </c>
      <c r="G242" s="697"/>
      <c r="H242" s="697"/>
      <c r="I242" s="697"/>
      <c r="J242" s="697"/>
      <c r="K242" s="697"/>
      <c r="L242" s="697"/>
      <c r="M242" s="606"/>
      <c r="N242" s="598">
        <f>N243</f>
        <v>1500000</v>
      </c>
      <c r="O242" s="598"/>
      <c r="P242" s="598"/>
      <c r="Q242" s="637"/>
    </row>
    <row r="243" spans="1:17" s="242" customFormat="1" ht="15" customHeight="1">
      <c r="A243" s="689"/>
      <c r="B243" s="691"/>
      <c r="C243" s="691"/>
      <c r="D243" s="691"/>
      <c r="E243" s="707"/>
      <c r="F243" s="708" t="s">
        <v>14</v>
      </c>
      <c r="G243" s="697" t="s">
        <v>507</v>
      </c>
      <c r="H243" s="697"/>
      <c r="I243" s="697"/>
      <c r="J243" s="697"/>
      <c r="K243" s="697"/>
      <c r="L243" s="697"/>
      <c r="M243" s="606"/>
      <c r="N243" s="605">
        <f>'RAB 2.2.7'!Q17</f>
        <v>1500000</v>
      </c>
      <c r="O243" s="605"/>
      <c r="P243" s="605"/>
      <c r="Q243" s="637"/>
    </row>
    <row r="244" spans="1:17" s="242" customFormat="1" ht="15" customHeight="1">
      <c r="A244" s="689"/>
      <c r="B244" s="691"/>
      <c r="C244" s="691"/>
      <c r="D244" s="691"/>
      <c r="E244" s="707" t="s">
        <v>14</v>
      </c>
      <c r="F244" s="697" t="s">
        <v>204</v>
      </c>
      <c r="G244" s="697"/>
      <c r="H244" s="697"/>
      <c r="I244" s="697"/>
      <c r="J244" s="697"/>
      <c r="K244" s="697"/>
      <c r="L244" s="697"/>
      <c r="M244" s="690"/>
      <c r="N244" s="598">
        <f>SUM(N245:N245)</f>
        <v>900000</v>
      </c>
      <c r="O244" s="598"/>
      <c r="P244" s="598"/>
      <c r="Q244" s="637"/>
    </row>
    <row r="245" spans="1:17" s="242" customFormat="1" ht="15" customHeight="1">
      <c r="A245" s="689"/>
      <c r="B245" s="691"/>
      <c r="C245" s="691"/>
      <c r="D245" s="691"/>
      <c r="E245" s="707"/>
      <c r="F245" s="708" t="s">
        <v>14</v>
      </c>
      <c r="G245" s="697" t="s">
        <v>488</v>
      </c>
      <c r="H245" s="697"/>
      <c r="I245" s="697"/>
      <c r="J245" s="697"/>
      <c r="K245" s="697"/>
      <c r="L245" s="697"/>
      <c r="M245" s="690"/>
      <c r="N245" s="605">
        <f>'RAB 2.2.7'!Q21</f>
        <v>900000</v>
      </c>
      <c r="O245" s="605"/>
      <c r="P245" s="605"/>
      <c r="Q245" s="637"/>
    </row>
    <row r="246" spans="1:17" s="242" customFormat="1" ht="15" customHeight="1">
      <c r="A246" s="689"/>
      <c r="B246" s="691"/>
      <c r="C246" s="691"/>
      <c r="D246" s="691"/>
      <c r="E246" s="707" t="s">
        <v>14</v>
      </c>
      <c r="F246" s="697" t="s">
        <v>489</v>
      </c>
      <c r="G246" s="697"/>
      <c r="H246" s="697"/>
      <c r="I246" s="697"/>
      <c r="J246" s="697"/>
      <c r="K246" s="697"/>
      <c r="L246" s="697"/>
      <c r="M246" s="690"/>
      <c r="N246" s="598">
        <f>SUM(N247:N247)</f>
        <v>1050000</v>
      </c>
      <c r="O246" s="598"/>
      <c r="P246" s="598"/>
      <c r="Q246" s="637"/>
    </row>
    <row r="247" spans="1:17" s="242" customFormat="1" ht="15" customHeight="1">
      <c r="A247" s="689"/>
      <c r="B247" s="691"/>
      <c r="C247" s="691"/>
      <c r="D247" s="691"/>
      <c r="E247" s="707"/>
      <c r="F247" s="708" t="s">
        <v>14</v>
      </c>
      <c r="G247" s="697" t="s">
        <v>508</v>
      </c>
      <c r="H247" s="697"/>
      <c r="I247" s="697"/>
      <c r="J247" s="697"/>
      <c r="K247" s="697"/>
      <c r="L247" s="697"/>
      <c r="M247" s="690"/>
      <c r="N247" s="605">
        <f>'RAB 2.2.7'!Q27</f>
        <v>1050000</v>
      </c>
      <c r="O247" s="605"/>
      <c r="P247" s="605"/>
      <c r="Q247" s="637"/>
    </row>
    <row r="248" spans="1:17" s="242" customFormat="1" ht="15" customHeight="1">
      <c r="A248" s="689"/>
      <c r="B248" s="691"/>
      <c r="C248" s="691"/>
      <c r="D248" s="691"/>
      <c r="E248" s="600" t="s">
        <v>14</v>
      </c>
      <c r="F248" s="759" t="s">
        <v>77</v>
      </c>
      <c r="G248" s="759"/>
      <c r="H248" s="697"/>
      <c r="I248" s="697"/>
      <c r="J248" s="697"/>
      <c r="K248" s="697"/>
      <c r="L248" s="697"/>
      <c r="M248" s="690"/>
      <c r="N248" s="605">
        <f>'RAB 2.2.7'!Q31</f>
        <v>86500</v>
      </c>
      <c r="O248" s="605"/>
      <c r="P248" s="605"/>
      <c r="Q248" s="637"/>
    </row>
    <row r="249" spans="1:17" s="242" customFormat="1" ht="15" customHeight="1">
      <c r="A249" s="689"/>
      <c r="B249" s="691"/>
      <c r="C249" s="691"/>
      <c r="D249" s="691"/>
      <c r="E249" s="600" t="s">
        <v>14</v>
      </c>
      <c r="F249" s="759" t="s">
        <v>178</v>
      </c>
      <c r="G249" s="759"/>
      <c r="H249" s="697"/>
      <c r="I249" s="697"/>
      <c r="J249" s="697"/>
      <c r="K249" s="697"/>
      <c r="L249" s="697"/>
      <c r="M249" s="690"/>
      <c r="N249" s="605">
        <f>'RAB 2.2.7'!Q36</f>
        <v>100000</v>
      </c>
      <c r="O249" s="605"/>
      <c r="P249" s="605"/>
      <c r="Q249" s="637"/>
    </row>
    <row r="250" spans="1:17" s="242" customFormat="1" ht="15" customHeight="1">
      <c r="A250" s="689">
        <v>2</v>
      </c>
      <c r="B250" s="691">
        <v>2</v>
      </c>
      <c r="C250" s="691">
        <v>7</v>
      </c>
      <c r="D250" s="691">
        <v>3</v>
      </c>
      <c r="E250" s="600" t="s">
        <v>14</v>
      </c>
      <c r="F250" s="697" t="s">
        <v>60</v>
      </c>
      <c r="G250" s="697"/>
      <c r="H250" s="697"/>
      <c r="I250" s="697"/>
      <c r="J250" s="697"/>
      <c r="K250" s="697"/>
      <c r="L250" s="697"/>
      <c r="M250" s="690"/>
      <c r="N250" s="598">
        <f>N251</f>
        <v>15000000</v>
      </c>
      <c r="O250" s="598"/>
      <c r="P250" s="598"/>
      <c r="Q250" s="637"/>
    </row>
    <row r="251" spans="1:17" s="242" customFormat="1" ht="15" customHeight="1">
      <c r="A251" s="689"/>
      <c r="B251" s="691"/>
      <c r="C251" s="691"/>
      <c r="D251" s="691"/>
      <c r="E251" s="600"/>
      <c r="F251" s="708" t="s">
        <v>14</v>
      </c>
      <c r="G251" s="697" t="s">
        <v>527</v>
      </c>
      <c r="H251" s="697"/>
      <c r="I251" s="697"/>
      <c r="J251" s="697"/>
      <c r="K251" s="697"/>
      <c r="L251" s="697"/>
      <c r="M251" s="690"/>
      <c r="N251" s="605">
        <f>'RAB 2.2.7'!Q40</f>
        <v>15000000</v>
      </c>
      <c r="O251" s="605"/>
      <c r="P251" s="605"/>
      <c r="Q251" s="637"/>
    </row>
    <row r="252" spans="1:17" s="242" customFormat="1" ht="15" customHeight="1">
      <c r="A252" s="451"/>
      <c r="B252" s="451"/>
      <c r="C252" s="451"/>
      <c r="D252" s="451"/>
      <c r="E252" s="641"/>
      <c r="F252" s="652"/>
      <c r="G252" s="616"/>
      <c r="H252" s="616"/>
      <c r="I252" s="616"/>
      <c r="J252" s="616"/>
      <c r="K252" s="616"/>
      <c r="L252" s="616"/>
      <c r="M252" s="451"/>
      <c r="N252" s="642"/>
      <c r="O252" s="642"/>
      <c r="P252" s="642"/>
      <c r="Q252" s="643"/>
    </row>
    <row r="253" spans="1:17" s="242" customFormat="1" ht="15" customHeight="1">
      <c r="A253" s="286"/>
      <c r="B253" s="286"/>
      <c r="C253" s="286"/>
      <c r="D253" s="286"/>
      <c r="E253" s="644"/>
      <c r="F253" s="653"/>
      <c r="G253" s="682"/>
      <c r="H253" s="682"/>
      <c r="I253" s="682"/>
      <c r="J253" s="682"/>
      <c r="K253" s="682"/>
      <c r="L253" s="682"/>
      <c r="M253" s="286"/>
      <c r="N253" s="645"/>
      <c r="O253" s="645"/>
      <c r="P253" s="645"/>
      <c r="Q253" s="646"/>
    </row>
    <row r="254" spans="1:17" s="242" customFormat="1" ht="15" customHeight="1">
      <c r="A254" s="286"/>
      <c r="B254" s="286"/>
      <c r="C254" s="286"/>
      <c r="D254" s="286"/>
      <c r="E254" s="644"/>
      <c r="F254" s="653"/>
      <c r="G254" s="682"/>
      <c r="H254" s="682"/>
      <c r="I254" s="682"/>
      <c r="J254" s="682"/>
      <c r="K254" s="682"/>
      <c r="L254" s="682"/>
      <c r="M254" s="286"/>
      <c r="N254" s="645"/>
      <c r="O254" s="645"/>
      <c r="P254" s="645"/>
      <c r="Q254" s="646"/>
    </row>
    <row r="255" spans="1:17" s="242" customFormat="1" ht="15" customHeight="1">
      <c r="A255" s="286"/>
      <c r="B255" s="286"/>
      <c r="C255" s="286"/>
      <c r="D255" s="286"/>
      <c r="E255" s="644"/>
      <c r="F255" s="653"/>
      <c r="G255" s="682"/>
      <c r="H255" s="682"/>
      <c r="I255" s="682"/>
      <c r="J255" s="682"/>
      <c r="K255" s="682"/>
      <c r="L255" s="682"/>
      <c r="M255" s="286"/>
      <c r="N255" s="645"/>
      <c r="O255" s="645"/>
      <c r="P255" s="645"/>
      <c r="Q255" s="646"/>
    </row>
    <row r="256" spans="1:17" s="242" customFormat="1" ht="15" customHeight="1">
      <c r="A256" s="286"/>
      <c r="B256" s="286"/>
      <c r="C256" s="286"/>
      <c r="D256" s="286"/>
      <c r="E256" s="644"/>
      <c r="F256" s="653"/>
      <c r="G256" s="682"/>
      <c r="H256" s="682"/>
      <c r="I256" s="682"/>
      <c r="J256" s="682"/>
      <c r="K256" s="682"/>
      <c r="L256" s="682"/>
      <c r="M256" s="286"/>
      <c r="N256" s="645"/>
      <c r="O256" s="645"/>
      <c r="P256" s="645"/>
      <c r="Q256" s="646"/>
    </row>
    <row r="257" spans="1:17" s="242" customFormat="1" ht="15" customHeight="1">
      <c r="A257" s="286"/>
      <c r="B257" s="286"/>
      <c r="C257" s="286"/>
      <c r="D257" s="286"/>
      <c r="E257" s="644"/>
      <c r="F257" s="653"/>
      <c r="G257" s="682"/>
      <c r="H257" s="682"/>
      <c r="I257" s="682"/>
      <c r="J257" s="682"/>
      <c r="K257" s="682"/>
      <c r="L257" s="682"/>
      <c r="M257" s="286"/>
      <c r="N257" s="645"/>
      <c r="O257" s="645"/>
      <c r="P257" s="645"/>
      <c r="Q257" s="646"/>
    </row>
    <row r="258" spans="1:17" s="242" customFormat="1" ht="15" customHeight="1">
      <c r="A258" s="286"/>
      <c r="B258" s="286"/>
      <c r="C258" s="286"/>
      <c r="D258" s="286"/>
      <c r="E258" s="644"/>
      <c r="F258" s="653"/>
      <c r="G258" s="682"/>
      <c r="H258" s="682"/>
      <c r="I258" s="682"/>
      <c r="J258" s="682"/>
      <c r="K258" s="682"/>
      <c r="L258" s="682"/>
      <c r="M258" s="286"/>
      <c r="N258" s="645"/>
      <c r="O258" s="645"/>
      <c r="P258" s="645"/>
      <c r="Q258" s="646"/>
    </row>
    <row r="259" spans="1:17" s="242" customFormat="1" ht="15" customHeight="1">
      <c r="A259" s="286"/>
      <c r="B259" s="286"/>
      <c r="C259" s="286"/>
      <c r="D259" s="286"/>
      <c r="E259" s="644"/>
      <c r="F259" s="653"/>
      <c r="G259" s="682"/>
      <c r="H259" s="682"/>
      <c r="I259" s="682"/>
      <c r="J259" s="682"/>
      <c r="K259" s="682"/>
      <c r="L259" s="682"/>
      <c r="M259" s="286"/>
      <c r="N259" s="645"/>
      <c r="O259" s="645"/>
      <c r="P259" s="645"/>
      <c r="Q259" s="646"/>
    </row>
    <row r="260" spans="1:17" s="242" customFormat="1" ht="15" customHeight="1">
      <c r="A260" s="286"/>
      <c r="B260" s="286"/>
      <c r="C260" s="286"/>
      <c r="D260" s="286"/>
      <c r="E260" s="644"/>
      <c r="F260" s="653"/>
      <c r="G260" s="682"/>
      <c r="H260" s="682"/>
      <c r="I260" s="682"/>
      <c r="J260" s="682"/>
      <c r="K260" s="682"/>
      <c r="L260" s="682"/>
      <c r="M260" s="286"/>
      <c r="N260" s="645"/>
      <c r="O260" s="645"/>
      <c r="P260" s="645"/>
      <c r="Q260" s="646"/>
    </row>
    <row r="261" spans="1:17" s="242" customFormat="1" ht="15" customHeight="1">
      <c r="A261" s="670"/>
      <c r="B261" s="670"/>
      <c r="C261" s="670"/>
      <c r="D261" s="670"/>
      <c r="E261" s="647"/>
      <c r="F261" s="698"/>
      <c r="G261" s="617"/>
      <c r="H261" s="617"/>
      <c r="I261" s="617"/>
      <c r="J261" s="617"/>
      <c r="K261" s="617"/>
      <c r="L261" s="617"/>
      <c r="M261" s="670"/>
      <c r="N261" s="648"/>
      <c r="O261" s="648"/>
      <c r="P261" s="648"/>
      <c r="Q261" s="649"/>
    </row>
    <row r="262" spans="1:17" s="242" customFormat="1" ht="15" customHeight="1">
      <c r="A262" s="689">
        <v>2</v>
      </c>
      <c r="B262" s="691">
        <v>2</v>
      </c>
      <c r="C262" s="691">
        <v>15</v>
      </c>
      <c r="D262" s="691"/>
      <c r="E262" s="593" t="s">
        <v>321</v>
      </c>
      <c r="F262" s="594"/>
      <c r="G262" s="594"/>
      <c r="H262" s="594"/>
      <c r="I262" s="594"/>
      <c r="J262" s="594"/>
      <c r="K262" s="594"/>
      <c r="L262" s="594"/>
      <c r="M262" s="690"/>
      <c r="N262" s="598">
        <f>SUM(N263+N269)</f>
        <v>171919050.40000001</v>
      </c>
      <c r="O262" s="598"/>
      <c r="P262" s="598"/>
      <c r="Q262" s="637" t="s">
        <v>286</v>
      </c>
    </row>
    <row r="263" spans="1:17" s="242" customFormat="1" ht="15" customHeight="1">
      <c r="A263" s="689">
        <v>2</v>
      </c>
      <c r="B263" s="691">
        <v>2</v>
      </c>
      <c r="C263" s="691">
        <v>15</v>
      </c>
      <c r="D263" s="691">
        <v>1</v>
      </c>
      <c r="E263" s="758" t="s">
        <v>29</v>
      </c>
      <c r="F263" s="759"/>
      <c r="G263" s="759"/>
      <c r="H263" s="759"/>
      <c r="I263" s="759"/>
      <c r="J263" s="759"/>
      <c r="K263" s="759"/>
      <c r="L263" s="759"/>
      <c r="M263" s="606"/>
      <c r="N263" s="598">
        <f>SUM(N265:N267)</f>
        <v>41795000</v>
      </c>
      <c r="O263" s="598"/>
      <c r="P263" s="598"/>
      <c r="Q263" s="637"/>
    </row>
    <row r="264" spans="1:17" s="242" customFormat="1" ht="15" customHeight="1">
      <c r="A264" s="689"/>
      <c r="B264" s="691"/>
      <c r="C264" s="691"/>
      <c r="D264" s="691"/>
      <c r="E264" s="600" t="s">
        <v>14</v>
      </c>
      <c r="F264" s="759" t="s">
        <v>502</v>
      </c>
      <c r="G264" s="759"/>
      <c r="H264" s="759"/>
      <c r="I264" s="759"/>
      <c r="J264" s="759"/>
      <c r="K264" s="759"/>
      <c r="L264" s="759"/>
      <c r="M264" s="690"/>
      <c r="N264" s="605"/>
      <c r="O264" s="605"/>
      <c r="P264" s="605"/>
      <c r="Q264" s="637"/>
    </row>
    <row r="265" spans="1:17" s="242" customFormat="1" ht="15" customHeight="1">
      <c r="A265" s="689"/>
      <c r="B265" s="691"/>
      <c r="C265" s="691"/>
      <c r="D265" s="691"/>
      <c r="E265" s="600"/>
      <c r="F265" s="697" t="str">
        <f>'RAB 2.2.15'!I19</f>
        <v>- Pekerja</v>
      </c>
      <c r="G265" s="697"/>
      <c r="H265" s="697"/>
      <c r="I265" s="697"/>
      <c r="J265" s="697"/>
      <c r="K265" s="697"/>
      <c r="L265" s="697"/>
      <c r="M265" s="690"/>
      <c r="N265" s="605">
        <f>'RAB 2.2.15'!S19</f>
        <v>27240000</v>
      </c>
      <c r="O265" s="605"/>
      <c r="P265" s="605"/>
      <c r="Q265" s="637"/>
    </row>
    <row r="266" spans="1:17" s="242" customFormat="1" ht="15" customHeight="1">
      <c r="A266" s="689"/>
      <c r="B266" s="691"/>
      <c r="C266" s="691"/>
      <c r="D266" s="691"/>
      <c r="E266" s="600"/>
      <c r="F266" s="697" t="str">
        <f>'RAB 2.2.15'!I20</f>
        <v>- Tukang</v>
      </c>
      <c r="G266" s="697"/>
      <c r="H266" s="697"/>
      <c r="I266" s="697"/>
      <c r="J266" s="697"/>
      <c r="K266" s="697"/>
      <c r="L266" s="697"/>
      <c r="M266" s="690"/>
      <c r="N266" s="605">
        <f>'RAB 2.2.15'!S20</f>
        <v>12090000</v>
      </c>
      <c r="O266" s="605"/>
      <c r="P266" s="605"/>
      <c r="Q266" s="637"/>
    </row>
    <row r="267" spans="1:17" s="242" customFormat="1" ht="15" customHeight="1">
      <c r="A267" s="689"/>
      <c r="B267" s="691"/>
      <c r="C267" s="691"/>
      <c r="D267" s="691"/>
      <c r="E267" s="600"/>
      <c r="F267" s="697" t="str">
        <f>'RAB 2.2.15'!I21</f>
        <v>- Ka. Kelompok</v>
      </c>
      <c r="G267" s="697"/>
      <c r="H267" s="697"/>
      <c r="I267" s="697"/>
      <c r="J267" s="697"/>
      <c r="K267" s="697"/>
      <c r="L267" s="697"/>
      <c r="M267" s="690"/>
      <c r="N267" s="605">
        <f>'RAB 2.2.15'!S21</f>
        <v>2465000</v>
      </c>
      <c r="O267" s="605"/>
      <c r="P267" s="605"/>
      <c r="Q267" s="637"/>
    </row>
    <row r="268" spans="1:17" s="242" customFormat="1" ht="15" customHeight="1">
      <c r="A268" s="689"/>
      <c r="B268" s="691"/>
      <c r="C268" s="691"/>
      <c r="D268" s="691"/>
      <c r="E268" s="600"/>
      <c r="F268" s="697"/>
      <c r="G268" s="697"/>
      <c r="H268" s="697"/>
      <c r="I268" s="697"/>
      <c r="J268" s="697"/>
      <c r="K268" s="697"/>
      <c r="L268" s="697"/>
      <c r="M268" s="690"/>
      <c r="N268" s="605"/>
      <c r="O268" s="605"/>
      <c r="P268" s="605"/>
      <c r="Q268" s="637"/>
    </row>
    <row r="269" spans="1:17" s="242" customFormat="1" ht="15" customHeight="1">
      <c r="A269" s="689">
        <v>2</v>
      </c>
      <c r="B269" s="691">
        <v>2</v>
      </c>
      <c r="C269" s="691">
        <v>15</v>
      </c>
      <c r="D269" s="691">
        <v>2</v>
      </c>
      <c r="E269" s="758" t="s">
        <v>503</v>
      </c>
      <c r="F269" s="759"/>
      <c r="G269" s="759"/>
      <c r="H269" s="759"/>
      <c r="I269" s="759"/>
      <c r="J269" s="759"/>
      <c r="K269" s="759"/>
      <c r="L269" s="759"/>
      <c r="M269" s="690"/>
      <c r="N269" s="598">
        <f>SUM(N270:N310)</f>
        <v>130124050.40000001</v>
      </c>
      <c r="O269" s="598"/>
      <c r="P269" s="598"/>
      <c r="Q269" s="637"/>
    </row>
    <row r="270" spans="1:17" s="242" customFormat="1" ht="15" customHeight="1">
      <c r="A270" s="689"/>
      <c r="B270" s="691"/>
      <c r="C270" s="691"/>
      <c r="D270" s="691"/>
      <c r="E270" s="696"/>
      <c r="F270" s="697" t="str">
        <f>'RAB 2.2.15'!I24</f>
        <v>Pasir Pasang</v>
      </c>
      <c r="G270" s="697"/>
      <c r="H270" s="697"/>
      <c r="I270" s="697"/>
      <c r="J270" s="697"/>
      <c r="K270" s="697"/>
      <c r="L270" s="697"/>
      <c r="M270" s="690"/>
      <c r="N270" s="612">
        <f>'RAB 2.2.15'!S24</f>
        <v>15180000</v>
      </c>
      <c r="O270" s="612"/>
      <c r="P270" s="612"/>
      <c r="Q270" s="637"/>
    </row>
    <row r="271" spans="1:17" s="242" customFormat="1" ht="15" customHeight="1">
      <c r="A271" s="689"/>
      <c r="B271" s="691"/>
      <c r="C271" s="691"/>
      <c r="D271" s="691"/>
      <c r="E271" s="696"/>
      <c r="F271" s="697" t="str">
        <f>'RAB 2.2.15'!I25</f>
        <v>Batu Gunung</v>
      </c>
      <c r="G271" s="697"/>
      <c r="H271" s="697"/>
      <c r="I271" s="697"/>
      <c r="J271" s="697"/>
      <c r="K271" s="697"/>
      <c r="L271" s="697"/>
      <c r="M271" s="690"/>
      <c r="N271" s="612">
        <f>'RAB 2.2.15'!S25</f>
        <v>5970800</v>
      </c>
      <c r="O271" s="612"/>
      <c r="P271" s="612"/>
      <c r="Q271" s="637"/>
    </row>
    <row r="272" spans="1:17" s="242" customFormat="1" ht="15" customHeight="1">
      <c r="A272" s="689"/>
      <c r="B272" s="691"/>
      <c r="C272" s="691"/>
      <c r="D272" s="691"/>
      <c r="E272" s="696"/>
      <c r="F272" s="697" t="str">
        <f>'RAB 2.2.15'!I26</f>
        <v>Semen</v>
      </c>
      <c r="G272" s="697"/>
      <c r="H272" s="697"/>
      <c r="I272" s="697"/>
      <c r="J272" s="697"/>
      <c r="K272" s="697"/>
      <c r="L272" s="697"/>
      <c r="M272" s="690"/>
      <c r="N272" s="612">
        <f>'RAB 2.2.15'!S26</f>
        <v>28405000</v>
      </c>
      <c r="O272" s="612"/>
      <c r="P272" s="612"/>
      <c r="Q272" s="637"/>
    </row>
    <row r="273" spans="1:17" s="242" customFormat="1" ht="15" customHeight="1">
      <c r="A273" s="689"/>
      <c r="B273" s="691"/>
      <c r="C273" s="691"/>
      <c r="D273" s="691"/>
      <c r="E273" s="696"/>
      <c r="F273" s="697" t="str">
        <f>'RAB 2.2.15'!I27</f>
        <v>Pasir urung</v>
      </c>
      <c r="G273" s="697"/>
      <c r="H273" s="697"/>
      <c r="I273" s="697"/>
      <c r="J273" s="697"/>
      <c r="K273" s="697"/>
      <c r="L273" s="697"/>
      <c r="M273" s="690"/>
      <c r="N273" s="612">
        <f>'RAB 2.2.15'!S27</f>
        <v>2550000</v>
      </c>
      <c r="O273" s="612"/>
      <c r="P273" s="612"/>
      <c r="Q273" s="637"/>
    </row>
    <row r="274" spans="1:17" s="242" customFormat="1" ht="15" customHeight="1">
      <c r="A274" s="689"/>
      <c r="B274" s="691"/>
      <c r="C274" s="691"/>
      <c r="D274" s="691"/>
      <c r="E274" s="696"/>
      <c r="F274" s="697" t="str">
        <f>'RAB 2.2.15'!I28</f>
        <v>Batu Bata</v>
      </c>
      <c r="G274" s="697"/>
      <c r="H274" s="697"/>
      <c r="I274" s="697"/>
      <c r="J274" s="697"/>
      <c r="K274" s="697"/>
      <c r="L274" s="697"/>
      <c r="M274" s="690"/>
      <c r="N274" s="612">
        <f>'RAB 2.2.15'!S28</f>
        <v>20028000</v>
      </c>
      <c r="O274" s="612"/>
      <c r="P274" s="612"/>
      <c r="Q274" s="637"/>
    </row>
    <row r="275" spans="1:17" s="242" customFormat="1" ht="15" customHeight="1">
      <c r="A275" s="689"/>
      <c r="B275" s="691"/>
      <c r="C275" s="691"/>
      <c r="D275" s="691"/>
      <c r="E275" s="696"/>
      <c r="F275" s="697" t="str">
        <f>'RAB 2.2.15'!I29</f>
        <v>Kerikil</v>
      </c>
      <c r="G275" s="697"/>
      <c r="H275" s="697"/>
      <c r="I275" s="697"/>
      <c r="J275" s="697"/>
      <c r="K275" s="697"/>
      <c r="L275" s="697"/>
      <c r="M275" s="690"/>
      <c r="N275" s="612">
        <f>'RAB 2.2.15'!S29</f>
        <v>7775000</v>
      </c>
      <c r="O275" s="612"/>
      <c r="P275" s="612"/>
      <c r="Q275" s="637"/>
    </row>
    <row r="276" spans="1:17" s="242" customFormat="1" ht="15" customHeight="1">
      <c r="A276" s="689"/>
      <c r="B276" s="691"/>
      <c r="C276" s="691"/>
      <c r="D276" s="691"/>
      <c r="E276" s="696"/>
      <c r="F276" s="697" t="str">
        <f>'RAB 2.2.15'!I30</f>
        <v>Keramik 20/20</v>
      </c>
      <c r="G276" s="697"/>
      <c r="H276" s="697"/>
      <c r="I276" s="697"/>
      <c r="J276" s="697"/>
      <c r="K276" s="697"/>
      <c r="L276" s="697"/>
      <c r="M276" s="690"/>
      <c r="N276" s="612">
        <f>'RAB 2.2.15'!S30</f>
        <v>1140000</v>
      </c>
      <c r="O276" s="612"/>
      <c r="P276" s="612"/>
      <c r="Q276" s="637"/>
    </row>
    <row r="277" spans="1:17" s="242" customFormat="1" ht="15" customHeight="1">
      <c r="A277" s="689"/>
      <c r="B277" s="691"/>
      <c r="C277" s="691"/>
      <c r="D277" s="691"/>
      <c r="E277" s="696"/>
      <c r="F277" s="697" t="str">
        <f>'RAB 2.2.15'!I31</f>
        <v>Keramik 40/40</v>
      </c>
      <c r="G277" s="697"/>
      <c r="H277" s="697"/>
      <c r="I277" s="697"/>
      <c r="J277" s="697"/>
      <c r="K277" s="697"/>
      <c r="L277" s="697"/>
      <c r="M277" s="690"/>
      <c r="N277" s="612">
        <f>'RAB 2.2.15'!S31</f>
        <v>6300000</v>
      </c>
      <c r="O277" s="612"/>
      <c r="P277" s="612"/>
      <c r="Q277" s="637"/>
    </row>
    <row r="278" spans="1:17" s="242" customFormat="1" ht="15" customHeight="1">
      <c r="A278" s="689"/>
      <c r="B278" s="691"/>
      <c r="C278" s="691"/>
      <c r="D278" s="691"/>
      <c r="E278" s="696"/>
      <c r="F278" s="697" t="str">
        <f>'RAB 2.2.15'!I32</f>
        <v>Papan 2/20</v>
      </c>
      <c r="G278" s="697"/>
      <c r="H278" s="697"/>
      <c r="I278" s="697"/>
      <c r="J278" s="697"/>
      <c r="K278" s="697"/>
      <c r="L278" s="697"/>
      <c r="M278" s="690"/>
      <c r="N278" s="612">
        <f>'RAB 2.2.15'!S32</f>
        <v>1920000</v>
      </c>
      <c r="O278" s="612"/>
      <c r="P278" s="612"/>
      <c r="Q278" s="637"/>
    </row>
    <row r="279" spans="1:17" s="242" customFormat="1" ht="15" customHeight="1">
      <c r="A279" s="689"/>
      <c r="B279" s="691"/>
      <c r="C279" s="691"/>
      <c r="D279" s="691"/>
      <c r="E279" s="696"/>
      <c r="F279" s="697" t="str">
        <f>'RAB 2.2.15'!I33</f>
        <v>Balok 6/12</v>
      </c>
      <c r="G279" s="697"/>
      <c r="H279" s="697"/>
      <c r="I279" s="697"/>
      <c r="J279" s="697"/>
      <c r="K279" s="697"/>
      <c r="L279" s="697"/>
      <c r="M279" s="690"/>
      <c r="N279" s="612">
        <f>'RAB 2.2.15'!S33</f>
        <v>12680000</v>
      </c>
      <c r="O279" s="612"/>
      <c r="P279" s="612"/>
      <c r="Q279" s="637"/>
    </row>
    <row r="280" spans="1:17" s="242" customFormat="1" ht="15" customHeight="1">
      <c r="A280" s="689"/>
      <c r="B280" s="691"/>
      <c r="C280" s="691"/>
      <c r="D280" s="691"/>
      <c r="E280" s="696"/>
      <c r="F280" s="697" t="str">
        <f>'RAB 2.2.15'!I34</f>
        <v>Balok 5/7</v>
      </c>
      <c r="G280" s="697"/>
      <c r="H280" s="697"/>
      <c r="I280" s="697"/>
      <c r="J280" s="697"/>
      <c r="K280" s="697"/>
      <c r="L280" s="697"/>
      <c r="M280" s="690"/>
      <c r="N280" s="613">
        <v>5790.4</v>
      </c>
      <c r="O280" s="613"/>
      <c r="P280" s="613"/>
      <c r="Q280" s="637"/>
    </row>
    <row r="281" spans="1:17" s="242" customFormat="1" ht="15" customHeight="1">
      <c r="A281" s="689"/>
      <c r="B281" s="691"/>
      <c r="C281" s="691"/>
      <c r="D281" s="691"/>
      <c r="E281" s="696"/>
      <c r="F281" s="697" t="str">
        <f>'RAB 2.2.15'!I35</f>
        <v>Paku Kayu</v>
      </c>
      <c r="G281" s="697"/>
      <c r="H281" s="697"/>
      <c r="I281" s="697"/>
      <c r="J281" s="697"/>
      <c r="K281" s="697"/>
      <c r="L281" s="697"/>
      <c r="M281" s="690"/>
      <c r="N281" s="612">
        <f>'RAB 2.2.15'!S35</f>
        <v>200000</v>
      </c>
      <c r="O281" s="612"/>
      <c r="P281" s="612"/>
      <c r="Q281" s="637"/>
    </row>
    <row r="282" spans="1:17" s="242" customFormat="1" ht="15" customHeight="1">
      <c r="A282" s="689"/>
      <c r="B282" s="691"/>
      <c r="C282" s="691"/>
      <c r="D282" s="691"/>
      <c r="E282" s="696"/>
      <c r="F282" s="697" t="str">
        <f>'RAB 2.2.15'!I36</f>
        <v>Seng</v>
      </c>
      <c r="G282" s="697"/>
      <c r="H282" s="697"/>
      <c r="I282" s="697"/>
      <c r="J282" s="697"/>
      <c r="K282" s="697"/>
      <c r="L282" s="697"/>
      <c r="M282" s="690"/>
      <c r="N282" s="612">
        <f>'RAB 2.2.15'!S36</f>
        <v>7416500</v>
      </c>
      <c r="O282" s="612"/>
      <c r="P282" s="612"/>
      <c r="Q282" s="637"/>
    </row>
    <row r="283" spans="1:17" s="242" customFormat="1" ht="15" customHeight="1">
      <c r="A283" s="689"/>
      <c r="B283" s="691"/>
      <c r="C283" s="691"/>
      <c r="D283" s="691"/>
      <c r="E283" s="696"/>
      <c r="F283" s="697" t="str">
        <f>'RAB 2.2.15'!I37</f>
        <v>Nok Seng</v>
      </c>
      <c r="G283" s="697"/>
      <c r="H283" s="697"/>
      <c r="I283" s="697"/>
      <c r="J283" s="697"/>
      <c r="K283" s="697"/>
      <c r="L283" s="697"/>
      <c r="M283" s="690"/>
      <c r="N283" s="612">
        <f>'RAB 2.2.15'!S37</f>
        <v>550000</v>
      </c>
      <c r="O283" s="612"/>
      <c r="P283" s="612"/>
      <c r="Q283" s="637"/>
    </row>
    <row r="284" spans="1:17" s="242" customFormat="1" ht="15" customHeight="1">
      <c r="A284" s="689"/>
      <c r="B284" s="691"/>
      <c r="C284" s="691"/>
      <c r="D284" s="691"/>
      <c r="E284" s="696"/>
      <c r="F284" s="697" t="str">
        <f>'RAB 2.2.15'!I38</f>
        <v>Paku Seng</v>
      </c>
      <c r="G284" s="697"/>
      <c r="H284" s="697"/>
      <c r="I284" s="697"/>
      <c r="J284" s="697"/>
      <c r="K284" s="697"/>
      <c r="L284" s="697"/>
      <c r="M284" s="690"/>
      <c r="N284" s="612">
        <f>'RAB 2.2.15'!S38</f>
        <v>136500</v>
      </c>
      <c r="O284" s="612"/>
      <c r="P284" s="612"/>
      <c r="Q284" s="637"/>
    </row>
    <row r="285" spans="1:17" s="242" customFormat="1" ht="15" customHeight="1">
      <c r="A285" s="689"/>
      <c r="B285" s="691"/>
      <c r="C285" s="691"/>
      <c r="D285" s="691"/>
      <c r="E285" s="696"/>
      <c r="F285" s="697" t="str">
        <f>'RAB 2.2.15'!I39</f>
        <v>Kaca t=5 mm</v>
      </c>
      <c r="G285" s="697"/>
      <c r="H285" s="697"/>
      <c r="I285" s="697"/>
      <c r="J285" s="697"/>
      <c r="K285" s="697"/>
      <c r="L285" s="697"/>
      <c r="M285" s="690"/>
      <c r="N285" s="612">
        <f>'RAB 2.2.15'!S39</f>
        <v>2261700</v>
      </c>
      <c r="O285" s="612"/>
      <c r="P285" s="612"/>
      <c r="Q285" s="637"/>
    </row>
    <row r="286" spans="1:17" s="242" customFormat="1" ht="15" customHeight="1">
      <c r="A286" s="689"/>
      <c r="B286" s="691"/>
      <c r="C286" s="691"/>
      <c r="D286" s="691"/>
      <c r="E286" s="696"/>
      <c r="F286" s="697" t="str">
        <f>'RAB 2.2.15'!I40</f>
        <v>Besi Beton D 10 mm</v>
      </c>
      <c r="G286" s="697"/>
      <c r="H286" s="697"/>
      <c r="I286" s="697"/>
      <c r="J286" s="697"/>
      <c r="K286" s="697"/>
      <c r="L286" s="697"/>
      <c r="M286" s="690"/>
      <c r="N286" s="612">
        <f>'RAB 2.2.15'!S40</f>
        <v>5135000</v>
      </c>
      <c r="O286" s="612"/>
      <c r="P286" s="612"/>
      <c r="Q286" s="637"/>
    </row>
    <row r="287" spans="1:17" s="242" customFormat="1" ht="15" customHeight="1">
      <c r="A287" s="689"/>
      <c r="B287" s="691"/>
      <c r="C287" s="691"/>
      <c r="D287" s="691"/>
      <c r="E287" s="696"/>
      <c r="F287" s="697" t="str">
        <f>'RAB 2.2.15'!I41</f>
        <v>Besi Beton D 6 mm</v>
      </c>
      <c r="G287" s="697"/>
      <c r="H287" s="697"/>
      <c r="I287" s="697"/>
      <c r="J287" s="697"/>
      <c r="K287" s="697"/>
      <c r="L287" s="697"/>
      <c r="M287" s="690"/>
      <c r="N287" s="612">
        <f>'RAB 2.2.15'!S41</f>
        <v>1012000</v>
      </c>
      <c r="O287" s="612"/>
      <c r="P287" s="612"/>
      <c r="Q287" s="637"/>
    </row>
    <row r="288" spans="1:17" s="242" customFormat="1" ht="15" customHeight="1">
      <c r="A288" s="689"/>
      <c r="B288" s="691"/>
      <c r="C288" s="691"/>
      <c r="D288" s="691"/>
      <c r="E288" s="696"/>
      <c r="F288" s="697" t="str">
        <f>'RAB 2.2.15'!I42</f>
        <v>Bendrat</v>
      </c>
      <c r="G288" s="697"/>
      <c r="H288" s="697"/>
      <c r="I288" s="697"/>
      <c r="J288" s="697"/>
      <c r="K288" s="697"/>
      <c r="L288" s="697"/>
      <c r="M288" s="690"/>
      <c r="N288" s="612">
        <f>'RAB 2.2.15'!S42</f>
        <v>180000</v>
      </c>
      <c r="O288" s="612"/>
      <c r="P288" s="612"/>
      <c r="Q288" s="637"/>
    </row>
    <row r="289" spans="1:17" s="242" customFormat="1" ht="15" customHeight="1">
      <c r="A289" s="689"/>
      <c r="B289" s="691"/>
      <c r="C289" s="691"/>
      <c r="D289" s="691"/>
      <c r="E289" s="696"/>
      <c r="F289" s="697" t="str">
        <f>'RAB 2.2.15'!I43</f>
        <v>Cat Kayu</v>
      </c>
      <c r="G289" s="697"/>
      <c r="H289" s="697"/>
      <c r="I289" s="697"/>
      <c r="J289" s="697"/>
      <c r="K289" s="697"/>
      <c r="L289" s="697"/>
      <c r="M289" s="690"/>
      <c r="N289" s="612">
        <f>'RAB 2.2.15'!S43</f>
        <v>360000</v>
      </c>
      <c r="O289" s="612"/>
      <c r="P289" s="612"/>
      <c r="Q289" s="637"/>
    </row>
    <row r="290" spans="1:17" s="242" customFormat="1" ht="15" customHeight="1">
      <c r="A290" s="689"/>
      <c r="B290" s="691"/>
      <c r="C290" s="691"/>
      <c r="D290" s="691"/>
      <c r="E290" s="696"/>
      <c r="F290" s="697" t="str">
        <f>'RAB 2.2.15'!I44</f>
        <v>Cat Tembok</v>
      </c>
      <c r="G290" s="697"/>
      <c r="H290" s="697"/>
      <c r="I290" s="697"/>
      <c r="J290" s="697"/>
      <c r="K290" s="697"/>
      <c r="L290" s="697"/>
      <c r="M290" s="690"/>
      <c r="N290" s="612">
        <f>'RAB 2.2.15'!S44</f>
        <v>1100000</v>
      </c>
      <c r="O290" s="612"/>
      <c r="P290" s="612"/>
      <c r="Q290" s="637"/>
    </row>
    <row r="291" spans="1:17" s="242" customFormat="1" ht="15" customHeight="1">
      <c r="A291" s="689"/>
      <c r="B291" s="691"/>
      <c r="C291" s="691"/>
      <c r="D291" s="691"/>
      <c r="E291" s="696"/>
      <c r="F291" s="697" t="str">
        <f>'RAB 2.2.15'!I45</f>
        <v>Menie Kayu</v>
      </c>
      <c r="G291" s="697"/>
      <c r="H291" s="697"/>
      <c r="I291" s="697"/>
      <c r="J291" s="697"/>
      <c r="K291" s="697"/>
      <c r="L291" s="697"/>
      <c r="M291" s="690"/>
      <c r="N291" s="612">
        <f>'RAB 2.2.15'!S45</f>
        <v>202500</v>
      </c>
      <c r="O291" s="612"/>
      <c r="P291" s="612"/>
      <c r="Q291" s="637"/>
    </row>
    <row r="292" spans="1:17" s="242" customFormat="1" ht="15" customHeight="1">
      <c r="A292" s="689"/>
      <c r="B292" s="691"/>
      <c r="C292" s="691"/>
      <c r="D292" s="691"/>
      <c r="E292" s="696"/>
      <c r="F292" s="697" t="str">
        <f>'RAB 2.2.15'!I46</f>
        <v>Pintu PVC</v>
      </c>
      <c r="G292" s="697"/>
      <c r="H292" s="697"/>
      <c r="I292" s="697"/>
      <c r="J292" s="697"/>
      <c r="K292" s="697"/>
      <c r="L292" s="697"/>
      <c r="M292" s="690"/>
      <c r="N292" s="612">
        <f>'RAB 2.2.15'!S46</f>
        <v>600000</v>
      </c>
      <c r="O292" s="612"/>
      <c r="P292" s="612"/>
      <c r="Q292" s="637"/>
    </row>
    <row r="293" spans="1:17" s="242" customFormat="1" ht="15" customHeight="1">
      <c r="A293" s="689"/>
      <c r="B293" s="691"/>
      <c r="C293" s="691"/>
      <c r="D293" s="691"/>
      <c r="E293" s="696"/>
      <c r="F293" s="697" t="str">
        <f>'RAB 2.2.15'!I47</f>
        <v>Kayu Bekisting Kls III</v>
      </c>
      <c r="G293" s="697"/>
      <c r="H293" s="697"/>
      <c r="I293" s="697"/>
      <c r="J293" s="697"/>
      <c r="K293" s="697"/>
      <c r="L293" s="697"/>
      <c r="M293" s="690"/>
      <c r="N293" s="612">
        <f>'RAB 2.2.15'!S47</f>
        <v>1500000</v>
      </c>
      <c r="O293" s="612"/>
      <c r="P293" s="612"/>
      <c r="Q293" s="637"/>
    </row>
    <row r="294" spans="1:17" s="242" customFormat="1" ht="15" customHeight="1">
      <c r="A294" s="689"/>
      <c r="B294" s="691"/>
      <c r="C294" s="691"/>
      <c r="D294" s="691"/>
      <c r="E294" s="696"/>
      <c r="F294" s="697" t="str">
        <f>'RAB 2.2.15'!I48</f>
        <v>Kuncian Pintu</v>
      </c>
      <c r="G294" s="697"/>
      <c r="H294" s="697"/>
      <c r="I294" s="697"/>
      <c r="J294" s="697"/>
      <c r="K294" s="697"/>
      <c r="L294" s="697"/>
      <c r="M294" s="690"/>
      <c r="N294" s="612">
        <f>'RAB 2.2.15'!S48</f>
        <v>180000</v>
      </c>
      <c r="O294" s="612"/>
      <c r="P294" s="612"/>
      <c r="Q294" s="637"/>
    </row>
    <row r="295" spans="1:17" s="242" customFormat="1" ht="15" customHeight="1">
      <c r="A295" s="689"/>
      <c r="B295" s="691"/>
      <c r="C295" s="691"/>
      <c r="D295" s="691"/>
      <c r="E295" s="696"/>
      <c r="F295" s="697" t="str">
        <f>'RAB 2.2.15'!I49</f>
        <v>Grandel Pintu</v>
      </c>
      <c r="G295" s="697"/>
      <c r="H295" s="697"/>
      <c r="I295" s="697"/>
      <c r="J295" s="697"/>
      <c r="K295" s="697"/>
      <c r="L295" s="697"/>
      <c r="M295" s="690"/>
      <c r="N295" s="612">
        <f>'RAB 2.2.15'!S49</f>
        <v>99000</v>
      </c>
      <c r="O295" s="612"/>
      <c r="P295" s="612"/>
      <c r="Q295" s="637"/>
    </row>
    <row r="296" spans="1:17" s="242" customFormat="1" ht="15" customHeight="1">
      <c r="A296" s="689"/>
      <c r="B296" s="691"/>
      <c r="C296" s="691"/>
      <c r="D296" s="691"/>
      <c r="E296" s="696"/>
      <c r="F296" s="697" t="str">
        <f>'RAB 2.2.15'!I50</f>
        <v>Engsel Pintu</v>
      </c>
      <c r="G296" s="697"/>
      <c r="H296" s="697"/>
      <c r="I296" s="697"/>
      <c r="J296" s="697"/>
      <c r="K296" s="697"/>
      <c r="L296" s="697"/>
      <c r="M296" s="690"/>
      <c r="N296" s="612">
        <f>'RAB 2.2.15'!S50</f>
        <v>344700</v>
      </c>
      <c r="O296" s="612"/>
      <c r="P296" s="612"/>
      <c r="Q296" s="637"/>
    </row>
    <row r="297" spans="1:17" s="242" customFormat="1" ht="15" customHeight="1">
      <c r="A297" s="689"/>
      <c r="B297" s="691"/>
      <c r="C297" s="691"/>
      <c r="D297" s="691"/>
      <c r="E297" s="696"/>
      <c r="F297" s="697" t="str">
        <f>'RAB 2.2.15'!I51</f>
        <v>Engsel Jendela</v>
      </c>
      <c r="G297" s="697"/>
      <c r="H297" s="697"/>
      <c r="I297" s="697"/>
      <c r="J297" s="697"/>
      <c r="K297" s="697"/>
      <c r="L297" s="697"/>
      <c r="M297" s="690"/>
      <c r="N297" s="612">
        <f>'RAB 2.2.15'!S51</f>
        <v>309600</v>
      </c>
      <c r="O297" s="612"/>
      <c r="P297" s="612"/>
      <c r="Q297" s="637"/>
    </row>
    <row r="298" spans="1:17" s="242" customFormat="1" ht="15" customHeight="1">
      <c r="A298" s="689"/>
      <c r="B298" s="691"/>
      <c r="C298" s="691"/>
      <c r="D298" s="691"/>
      <c r="E298" s="696"/>
      <c r="F298" s="697" t="str">
        <f>'RAB 2.2.15'!I52</f>
        <v>Kait Angin</v>
      </c>
      <c r="G298" s="697"/>
      <c r="H298" s="697"/>
      <c r="I298" s="697"/>
      <c r="J298" s="697"/>
      <c r="K298" s="697"/>
      <c r="L298" s="697"/>
      <c r="M298" s="690"/>
      <c r="N298" s="612">
        <f>'RAB 2.2.15'!S52</f>
        <v>60000</v>
      </c>
      <c r="O298" s="612"/>
      <c r="P298" s="612"/>
      <c r="Q298" s="637"/>
    </row>
    <row r="299" spans="1:17" s="242" customFormat="1" ht="15" customHeight="1">
      <c r="A299" s="689"/>
      <c r="B299" s="691"/>
      <c r="C299" s="691"/>
      <c r="D299" s="691"/>
      <c r="E299" s="696"/>
      <c r="F299" s="697" t="str">
        <f>'RAB 2.2.15'!I53</f>
        <v>Closet</v>
      </c>
      <c r="G299" s="697"/>
      <c r="H299" s="697"/>
      <c r="I299" s="697"/>
      <c r="J299" s="697"/>
      <c r="K299" s="697"/>
      <c r="L299" s="697"/>
      <c r="M299" s="690"/>
      <c r="N299" s="612">
        <f>'RAB 2.2.15'!S53</f>
        <v>385960</v>
      </c>
      <c r="O299" s="612"/>
      <c r="P299" s="612"/>
      <c r="Q299" s="637"/>
    </row>
    <row r="300" spans="1:17" s="242" customFormat="1" ht="15" customHeight="1">
      <c r="A300" s="689"/>
      <c r="B300" s="691"/>
      <c r="C300" s="691"/>
      <c r="D300" s="691"/>
      <c r="E300" s="696"/>
      <c r="F300" s="697" t="str">
        <f>'RAB 2.2.15'!I54</f>
        <v>Pipa Ø 3"</v>
      </c>
      <c r="G300" s="697"/>
      <c r="H300" s="697"/>
      <c r="I300" s="697"/>
      <c r="J300" s="697"/>
      <c r="K300" s="697"/>
      <c r="L300" s="697"/>
      <c r="M300" s="690"/>
      <c r="N300" s="612">
        <f>'RAB 2.2.15'!S54</f>
        <v>325000</v>
      </c>
      <c r="O300" s="612"/>
      <c r="P300" s="612"/>
      <c r="Q300" s="637"/>
    </row>
    <row r="301" spans="1:17" s="242" customFormat="1" ht="15" customHeight="1">
      <c r="A301" s="689"/>
      <c r="B301" s="691"/>
      <c r="C301" s="691"/>
      <c r="D301" s="691"/>
      <c r="E301" s="696"/>
      <c r="F301" s="697" t="str">
        <f>'RAB 2.2.15'!I55</f>
        <v>Ellow Ø 3"</v>
      </c>
      <c r="G301" s="697"/>
      <c r="H301" s="697"/>
      <c r="I301" s="697"/>
      <c r="J301" s="697"/>
      <c r="K301" s="697"/>
      <c r="L301" s="697"/>
      <c r="M301" s="690"/>
      <c r="N301" s="612">
        <f>'RAB 2.2.15'!S55</f>
        <v>26000</v>
      </c>
      <c r="O301" s="612"/>
      <c r="P301" s="612"/>
      <c r="Q301" s="637"/>
    </row>
    <row r="302" spans="1:17" s="242" customFormat="1" ht="15" customHeight="1">
      <c r="A302" s="689"/>
      <c r="B302" s="691"/>
      <c r="C302" s="691"/>
      <c r="D302" s="691"/>
      <c r="E302" s="696"/>
      <c r="F302" s="697" t="str">
        <f>'RAB 2.2.15'!I56</f>
        <v>Ellow Ø 1"</v>
      </c>
      <c r="G302" s="697"/>
      <c r="H302" s="697"/>
      <c r="I302" s="697"/>
      <c r="J302" s="697"/>
      <c r="K302" s="697"/>
      <c r="L302" s="697"/>
      <c r="M302" s="690"/>
      <c r="N302" s="612">
        <f>'RAB 2.2.15'!S56</f>
        <v>14000</v>
      </c>
      <c r="O302" s="612"/>
      <c r="P302" s="612"/>
      <c r="Q302" s="637"/>
    </row>
    <row r="303" spans="1:17" s="242" customFormat="1" ht="15" customHeight="1">
      <c r="A303" s="689"/>
      <c r="B303" s="691"/>
      <c r="C303" s="691"/>
      <c r="D303" s="691"/>
      <c r="E303" s="696"/>
      <c r="F303" s="697" t="str">
        <f>'RAB 2.2.15'!I57</f>
        <v>Pipa Ø 1/2"</v>
      </c>
      <c r="G303" s="697"/>
      <c r="H303" s="697"/>
      <c r="I303" s="697"/>
      <c r="J303" s="697"/>
      <c r="K303" s="697"/>
      <c r="L303" s="697"/>
      <c r="M303" s="690"/>
      <c r="N303" s="612">
        <f>'RAB 2.2.15'!S57</f>
        <v>100000</v>
      </c>
      <c r="O303" s="612"/>
      <c r="P303" s="612"/>
      <c r="Q303" s="637"/>
    </row>
    <row r="304" spans="1:17" s="242" customFormat="1" ht="15" customHeight="1">
      <c r="A304" s="689"/>
      <c r="B304" s="691"/>
      <c r="C304" s="691"/>
      <c r="D304" s="691"/>
      <c r="E304" s="696"/>
      <c r="F304" s="697" t="str">
        <f>'RAB 2.2.15'!I58</f>
        <v>Instalasi Listrik,Lampu Lapangan</v>
      </c>
      <c r="G304" s="697"/>
      <c r="H304" s="697"/>
      <c r="I304" s="697"/>
      <c r="J304" s="697"/>
      <c r="K304" s="697"/>
      <c r="L304" s="697"/>
      <c r="M304" s="690"/>
      <c r="N304" s="612">
        <f>'RAB 2.2.15'!S58</f>
        <v>4500000</v>
      </c>
      <c r="O304" s="612"/>
      <c r="P304" s="612"/>
      <c r="Q304" s="637"/>
    </row>
    <row r="305" spans="1:19" s="242" customFormat="1" ht="15" customHeight="1">
      <c r="A305" s="689"/>
      <c r="B305" s="691"/>
      <c r="C305" s="691"/>
      <c r="D305" s="691"/>
      <c r="E305" s="696"/>
      <c r="F305" s="697" t="str">
        <f>'RAB 2.2.15'!I59</f>
        <v>Urinior</v>
      </c>
      <c r="G305" s="697"/>
      <c r="H305" s="697"/>
      <c r="I305" s="697"/>
      <c r="J305" s="697"/>
      <c r="K305" s="697"/>
      <c r="L305" s="697"/>
      <c r="M305" s="690"/>
      <c r="N305" s="612">
        <f>'RAB 2.2.15'!S59</f>
        <v>20000</v>
      </c>
      <c r="O305" s="612"/>
      <c r="P305" s="612"/>
      <c r="Q305" s="637"/>
    </row>
    <row r="306" spans="1:19" s="242" customFormat="1" ht="15" customHeight="1">
      <c r="A306" s="689"/>
      <c r="B306" s="691"/>
      <c r="C306" s="691"/>
      <c r="D306" s="691"/>
      <c r="E306" s="696"/>
      <c r="F306" s="697" t="str">
        <f>'RAB 2.2.15'!I60</f>
        <v>Ember Besar</v>
      </c>
      <c r="G306" s="697"/>
      <c r="H306" s="697"/>
      <c r="I306" s="697"/>
      <c r="J306" s="697"/>
      <c r="K306" s="697"/>
      <c r="L306" s="697"/>
      <c r="M306" s="690"/>
      <c r="N306" s="612">
        <f>'RAB 2.2.15'!S60</f>
        <v>100000</v>
      </c>
      <c r="O306" s="612"/>
      <c r="P306" s="612"/>
      <c r="Q306" s="637"/>
    </row>
    <row r="307" spans="1:19" s="242" customFormat="1" ht="15" customHeight="1">
      <c r="A307" s="689"/>
      <c r="B307" s="691"/>
      <c r="C307" s="691"/>
      <c r="D307" s="691"/>
      <c r="E307" s="696"/>
      <c r="F307" s="697" t="str">
        <f>'RAB 2.2.15'!I61</f>
        <v>Kran Air</v>
      </c>
      <c r="G307" s="697"/>
      <c r="H307" s="697"/>
      <c r="I307" s="697"/>
      <c r="J307" s="697"/>
      <c r="K307" s="697"/>
      <c r="L307" s="697"/>
      <c r="M307" s="690"/>
      <c r="N307" s="612">
        <f>'RAB 2.2.15'!S61</f>
        <v>27700</v>
      </c>
      <c r="O307" s="612"/>
      <c r="P307" s="612"/>
      <c r="Q307" s="637"/>
    </row>
    <row r="308" spans="1:19" s="242" customFormat="1" ht="15" customHeight="1">
      <c r="A308" s="689"/>
      <c r="B308" s="691"/>
      <c r="C308" s="691"/>
      <c r="D308" s="691"/>
      <c r="E308" s="696"/>
      <c r="F308" s="697" t="str">
        <f>'RAB 2.2.15'!I62</f>
        <v>Alat Bantu</v>
      </c>
      <c r="G308" s="697"/>
      <c r="H308" s="697"/>
      <c r="I308" s="697"/>
      <c r="J308" s="697"/>
      <c r="K308" s="697"/>
      <c r="L308" s="697"/>
      <c r="M308" s="690"/>
      <c r="N308" s="612">
        <f>'RAB 2.2.15'!S62</f>
        <v>160000</v>
      </c>
      <c r="O308" s="612"/>
      <c r="P308" s="612"/>
      <c r="Q308" s="637"/>
    </row>
    <row r="309" spans="1:19" s="242" customFormat="1" ht="15" customHeight="1">
      <c r="A309" s="689"/>
      <c r="B309" s="691"/>
      <c r="C309" s="691"/>
      <c r="D309" s="691"/>
      <c r="E309" s="696"/>
      <c r="F309" s="697" t="str">
        <f>'RAB 2.2.15'!I63</f>
        <v>Grobak Dorong</v>
      </c>
      <c r="G309" s="697"/>
      <c r="H309" s="697"/>
      <c r="I309" s="697"/>
      <c r="J309" s="697"/>
      <c r="K309" s="697"/>
      <c r="L309" s="697"/>
      <c r="M309" s="690"/>
      <c r="N309" s="612">
        <f>'RAB 2.2.15'!S63</f>
        <v>413300</v>
      </c>
      <c r="O309" s="612"/>
      <c r="P309" s="612"/>
      <c r="Q309" s="637"/>
    </row>
    <row r="310" spans="1:19" s="242" customFormat="1" ht="15" customHeight="1">
      <c r="A310" s="689"/>
      <c r="B310" s="691"/>
      <c r="C310" s="691"/>
      <c r="D310" s="691"/>
      <c r="E310" s="696"/>
      <c r="F310" s="697" t="str">
        <f>'RAB 2.2.15'!I64</f>
        <v>Prasasti</v>
      </c>
      <c r="G310" s="697"/>
      <c r="H310" s="697"/>
      <c r="I310" s="697"/>
      <c r="J310" s="697"/>
      <c r="K310" s="697"/>
      <c r="L310" s="697"/>
      <c r="M310" s="690"/>
      <c r="N310" s="612">
        <f>'RAB 2.2.15'!S64</f>
        <v>450000</v>
      </c>
      <c r="O310" s="612"/>
      <c r="P310" s="612"/>
      <c r="Q310" s="637"/>
    </row>
    <row r="311" spans="1:19" s="242" customFormat="1" ht="15" customHeight="1">
      <c r="A311" s="689"/>
      <c r="B311" s="691"/>
      <c r="C311" s="691"/>
      <c r="D311" s="691"/>
      <c r="E311" s="600"/>
      <c r="F311" s="697"/>
      <c r="G311" s="697"/>
      <c r="H311" s="697"/>
      <c r="I311" s="697"/>
      <c r="J311" s="697"/>
      <c r="K311" s="697"/>
      <c r="L311" s="697"/>
      <c r="M311" s="690"/>
      <c r="N311" s="605"/>
      <c r="O311" s="605"/>
      <c r="P311" s="605"/>
      <c r="Q311" s="637"/>
    </row>
    <row r="312" spans="1:19" s="242" customFormat="1" ht="15" customHeight="1">
      <c r="A312" s="689">
        <v>2</v>
      </c>
      <c r="B312" s="691">
        <v>2</v>
      </c>
      <c r="C312" s="691">
        <v>16</v>
      </c>
      <c r="D312" s="691"/>
      <c r="E312" s="593" t="s">
        <v>395</v>
      </c>
      <c r="F312" s="594"/>
      <c r="G312" s="594"/>
      <c r="H312" s="594"/>
      <c r="I312" s="594"/>
      <c r="J312" s="594"/>
      <c r="K312" s="594"/>
      <c r="L312" s="594"/>
      <c r="M312" s="690"/>
      <c r="N312" s="598">
        <f>SUM(N313+N331)</f>
        <v>118467200</v>
      </c>
      <c r="O312" s="598"/>
      <c r="P312" s="598"/>
      <c r="Q312" s="637" t="s">
        <v>286</v>
      </c>
    </row>
    <row r="313" spans="1:19" s="242" customFormat="1" ht="15" customHeight="1">
      <c r="A313" s="689">
        <v>2</v>
      </c>
      <c r="B313" s="691">
        <v>2</v>
      </c>
      <c r="C313" s="691">
        <v>16</v>
      </c>
      <c r="D313" s="691">
        <v>1</v>
      </c>
      <c r="E313" s="758" t="s">
        <v>29</v>
      </c>
      <c r="F313" s="759"/>
      <c r="G313" s="759"/>
      <c r="H313" s="759"/>
      <c r="I313" s="759"/>
      <c r="J313" s="759"/>
      <c r="K313" s="759"/>
      <c r="L313" s="759"/>
      <c r="M313" s="606"/>
      <c r="N313" s="598">
        <f>SUM(N314:N314)+N327</f>
        <v>37540000</v>
      </c>
      <c r="O313" s="598"/>
      <c r="P313" s="598"/>
      <c r="Q313" s="637"/>
    </row>
    <row r="314" spans="1:19" s="242" customFormat="1" ht="15" customHeight="1">
      <c r="A314" s="689"/>
      <c r="B314" s="691"/>
      <c r="C314" s="691"/>
      <c r="D314" s="691"/>
      <c r="E314" s="600" t="s">
        <v>14</v>
      </c>
      <c r="F314" s="759" t="str">
        <f>'RAB 2.2.16'!I19</f>
        <v>Upah Kerja Pembangunan Taman Kanak-Kanak</v>
      </c>
      <c r="G314" s="759"/>
      <c r="H314" s="759"/>
      <c r="I314" s="759"/>
      <c r="J314" s="759"/>
      <c r="K314" s="759"/>
      <c r="L314" s="759"/>
      <c r="M314" s="690"/>
      <c r="N314" s="598">
        <f>SUM(N315:N317)</f>
        <v>32815000</v>
      </c>
      <c r="O314" s="598"/>
      <c r="P314" s="598"/>
      <c r="Q314" s="637"/>
    </row>
    <row r="315" spans="1:19" s="242" customFormat="1" ht="15" customHeight="1">
      <c r="A315" s="689"/>
      <c r="B315" s="691"/>
      <c r="C315" s="691"/>
      <c r="D315" s="691"/>
      <c r="E315" s="600"/>
      <c r="F315" s="697" t="str">
        <f>'RAB 2.2.16'!I20</f>
        <v>- Pekerja</v>
      </c>
      <c r="G315" s="697"/>
      <c r="H315" s="697"/>
      <c r="I315" s="697"/>
      <c r="J315" s="697"/>
      <c r="K315" s="697"/>
      <c r="L315" s="697"/>
      <c r="M315" s="690"/>
      <c r="N315" s="605">
        <f>'RAB 2.2.16'!S20</f>
        <v>17490000</v>
      </c>
      <c r="O315" s="605"/>
      <c r="P315" s="605"/>
      <c r="Q315" s="637"/>
    </row>
    <row r="316" spans="1:19" s="242" customFormat="1" ht="15" customHeight="1">
      <c r="A316" s="689"/>
      <c r="B316" s="691"/>
      <c r="C316" s="691"/>
      <c r="D316" s="691"/>
      <c r="E316" s="600"/>
      <c r="F316" s="697" t="str">
        <f>'RAB 2.2.16'!I21</f>
        <v>- Tukang</v>
      </c>
      <c r="G316" s="697"/>
      <c r="H316" s="697"/>
      <c r="I316" s="697"/>
      <c r="J316" s="697"/>
      <c r="K316" s="697"/>
      <c r="L316" s="697"/>
      <c r="M316" s="690"/>
      <c r="N316" s="605">
        <f>'RAB 2.2.16'!S21</f>
        <v>12350000</v>
      </c>
      <c r="O316" s="605"/>
      <c r="P316" s="605"/>
      <c r="Q316" s="637"/>
      <c r="S316" s="311">
        <f>N314+N332</f>
        <v>97447700</v>
      </c>
    </row>
    <row r="317" spans="1:19" s="242" customFormat="1" ht="15" customHeight="1">
      <c r="A317" s="689"/>
      <c r="B317" s="691"/>
      <c r="C317" s="691"/>
      <c r="D317" s="691"/>
      <c r="E317" s="600"/>
      <c r="F317" s="697" t="str">
        <f>'RAB 2.2.16'!I22</f>
        <v>- Ka. Kelompok</v>
      </c>
      <c r="G317" s="697"/>
      <c r="H317" s="697"/>
      <c r="I317" s="697"/>
      <c r="J317" s="697"/>
      <c r="K317" s="697"/>
      <c r="L317" s="697"/>
      <c r="M317" s="690"/>
      <c r="N317" s="605">
        <f>'RAB 2.2.16'!S22</f>
        <v>2975000</v>
      </c>
      <c r="O317" s="605"/>
      <c r="P317" s="605"/>
      <c r="Q317" s="637"/>
      <c r="S317" s="311">
        <f>N327+N377</f>
        <v>21019500</v>
      </c>
    </row>
    <row r="318" spans="1:19" s="242" customFormat="1" ht="15" customHeight="1">
      <c r="A318" s="451"/>
      <c r="B318" s="451"/>
      <c r="C318" s="451"/>
      <c r="D318" s="451"/>
      <c r="E318" s="641"/>
      <c r="F318" s="616"/>
      <c r="G318" s="616"/>
      <c r="H318" s="616"/>
      <c r="I318" s="616"/>
      <c r="J318" s="616"/>
      <c r="K318" s="616"/>
      <c r="L318" s="616"/>
      <c r="M318" s="451"/>
      <c r="N318" s="642"/>
      <c r="O318" s="642"/>
      <c r="P318" s="642"/>
      <c r="Q318" s="643"/>
      <c r="S318" s="311"/>
    </row>
    <row r="319" spans="1:19" s="242" customFormat="1" ht="15" customHeight="1">
      <c r="A319" s="286"/>
      <c r="B319" s="286"/>
      <c r="C319" s="286"/>
      <c r="D319" s="286"/>
      <c r="E319" s="644"/>
      <c r="F319" s="682"/>
      <c r="G319" s="682"/>
      <c r="H319" s="682"/>
      <c r="I319" s="682"/>
      <c r="J319" s="682"/>
      <c r="K319" s="682"/>
      <c r="L319" s="682"/>
      <c r="M319" s="286"/>
      <c r="N319" s="645"/>
      <c r="O319" s="645"/>
      <c r="P319" s="645"/>
      <c r="Q319" s="646"/>
      <c r="S319" s="311"/>
    </row>
    <row r="320" spans="1:19" s="242" customFormat="1" ht="15" customHeight="1">
      <c r="A320" s="286"/>
      <c r="B320" s="286"/>
      <c r="C320" s="286"/>
      <c r="D320" s="286"/>
      <c r="E320" s="644"/>
      <c r="F320" s="682"/>
      <c r="G320" s="682"/>
      <c r="H320" s="682"/>
      <c r="I320" s="682"/>
      <c r="J320" s="682"/>
      <c r="K320" s="682"/>
      <c r="L320" s="682"/>
      <c r="M320" s="286"/>
      <c r="N320" s="645"/>
      <c r="O320" s="645"/>
      <c r="P320" s="645"/>
      <c r="Q320" s="646"/>
      <c r="S320" s="311"/>
    </row>
    <row r="321" spans="1:19" s="242" customFormat="1" ht="15" customHeight="1">
      <c r="A321" s="286"/>
      <c r="B321" s="286"/>
      <c r="C321" s="286"/>
      <c r="D321" s="286"/>
      <c r="E321" s="644"/>
      <c r="F321" s="682"/>
      <c r="G321" s="682"/>
      <c r="H321" s="682"/>
      <c r="I321" s="682"/>
      <c r="J321" s="682"/>
      <c r="K321" s="682"/>
      <c r="L321" s="682"/>
      <c r="M321" s="286"/>
      <c r="N321" s="645"/>
      <c r="O321" s="645"/>
      <c r="P321" s="645"/>
      <c r="Q321" s="646"/>
      <c r="S321" s="311"/>
    </row>
    <row r="322" spans="1:19" s="242" customFormat="1" ht="15" customHeight="1">
      <c r="A322" s="286"/>
      <c r="B322" s="286"/>
      <c r="C322" s="286"/>
      <c r="D322" s="286"/>
      <c r="E322" s="644"/>
      <c r="F322" s="682"/>
      <c r="G322" s="682"/>
      <c r="H322" s="682"/>
      <c r="I322" s="682"/>
      <c r="J322" s="682"/>
      <c r="K322" s="682"/>
      <c r="L322" s="682"/>
      <c r="M322" s="286"/>
      <c r="N322" s="645"/>
      <c r="O322" s="645"/>
      <c r="P322" s="645"/>
      <c r="Q322" s="646"/>
      <c r="S322" s="311"/>
    </row>
    <row r="323" spans="1:19" s="242" customFormat="1" ht="15" customHeight="1">
      <c r="A323" s="286"/>
      <c r="B323" s="286"/>
      <c r="C323" s="286"/>
      <c r="D323" s="286"/>
      <c r="E323" s="644"/>
      <c r="F323" s="682"/>
      <c r="G323" s="682"/>
      <c r="H323" s="682"/>
      <c r="I323" s="682"/>
      <c r="J323" s="682"/>
      <c r="K323" s="682"/>
      <c r="L323" s="682"/>
      <c r="M323" s="286"/>
      <c r="N323" s="645"/>
      <c r="O323" s="645"/>
      <c r="P323" s="645"/>
      <c r="Q323" s="646"/>
      <c r="S323" s="311"/>
    </row>
    <row r="324" spans="1:19" s="242" customFormat="1" ht="15" customHeight="1">
      <c r="A324" s="286"/>
      <c r="B324" s="286"/>
      <c r="C324" s="286"/>
      <c r="D324" s="286"/>
      <c r="E324" s="644"/>
      <c r="F324" s="682"/>
      <c r="G324" s="682"/>
      <c r="H324" s="682"/>
      <c r="I324" s="682"/>
      <c r="J324" s="682"/>
      <c r="K324" s="682"/>
      <c r="L324" s="682"/>
      <c r="M324" s="286"/>
      <c r="N324" s="645"/>
      <c r="O324" s="645"/>
      <c r="P324" s="645"/>
      <c r="Q324" s="646"/>
      <c r="S324" s="311"/>
    </row>
    <row r="325" spans="1:19" s="242" customFormat="1" ht="15" customHeight="1">
      <c r="A325" s="286"/>
      <c r="B325" s="286"/>
      <c r="C325" s="286"/>
      <c r="D325" s="286"/>
      <c r="E325" s="644"/>
      <c r="F325" s="682"/>
      <c r="G325" s="682"/>
      <c r="H325" s="682"/>
      <c r="I325" s="682"/>
      <c r="J325" s="682"/>
      <c r="K325" s="682"/>
      <c r="L325" s="682"/>
      <c r="M325" s="286"/>
      <c r="N325" s="645"/>
      <c r="O325" s="645"/>
      <c r="P325" s="645"/>
      <c r="Q325" s="646"/>
      <c r="S325" s="311"/>
    </row>
    <row r="326" spans="1:19" s="242" customFormat="1" ht="15" customHeight="1">
      <c r="A326" s="670"/>
      <c r="B326" s="670"/>
      <c r="C326" s="670"/>
      <c r="D326" s="670"/>
      <c r="E326" s="647"/>
      <c r="F326" s="617"/>
      <c r="G326" s="617"/>
      <c r="H326" s="617"/>
      <c r="I326" s="617"/>
      <c r="J326" s="617"/>
      <c r="K326" s="617"/>
      <c r="L326" s="617"/>
      <c r="M326" s="670"/>
      <c r="N326" s="648"/>
      <c r="O326" s="648"/>
      <c r="P326" s="648"/>
      <c r="Q326" s="649"/>
      <c r="S326" s="311"/>
    </row>
    <row r="327" spans="1:19" s="242" customFormat="1" ht="15" customHeight="1">
      <c r="A327" s="689"/>
      <c r="B327" s="691"/>
      <c r="C327" s="691"/>
      <c r="D327" s="691"/>
      <c r="E327" s="600" t="s">
        <v>14</v>
      </c>
      <c r="F327" s="759" t="str">
        <f>'RAB 2.2.16'!I24</f>
        <v>Upah Kerja Rehab. TK-PGRI Cibollo</v>
      </c>
      <c r="G327" s="759"/>
      <c r="H327" s="759"/>
      <c r="I327" s="759"/>
      <c r="J327" s="759"/>
      <c r="K327" s="759"/>
      <c r="L327" s="759"/>
      <c r="M327" s="690"/>
      <c r="N327" s="598">
        <f>SUM(N328:N330)</f>
        <v>4725000</v>
      </c>
      <c r="O327" s="598"/>
      <c r="P327" s="598"/>
      <c r="Q327" s="637"/>
    </row>
    <row r="328" spans="1:19" s="242" customFormat="1" ht="15" customHeight="1">
      <c r="A328" s="689"/>
      <c r="B328" s="691"/>
      <c r="C328" s="691"/>
      <c r="D328" s="691"/>
      <c r="E328" s="600"/>
      <c r="F328" s="697" t="str">
        <f>'RAB 2.2.16'!I25</f>
        <v>- Pekerja</v>
      </c>
      <c r="G328" s="697"/>
      <c r="H328" s="697"/>
      <c r="I328" s="697"/>
      <c r="J328" s="697"/>
      <c r="K328" s="697"/>
      <c r="L328" s="697"/>
      <c r="M328" s="690"/>
      <c r="N328" s="605">
        <f>'RAB 2.2.16'!S25</f>
        <v>2475000</v>
      </c>
      <c r="O328" s="605"/>
      <c r="P328" s="605"/>
      <c r="Q328" s="637"/>
    </row>
    <row r="329" spans="1:19" s="242" customFormat="1" ht="15" customHeight="1">
      <c r="A329" s="689"/>
      <c r="B329" s="691"/>
      <c r="C329" s="691"/>
      <c r="D329" s="691"/>
      <c r="E329" s="600"/>
      <c r="F329" s="697" t="str">
        <f>'RAB 2.2.16'!I26</f>
        <v>- Tukang</v>
      </c>
      <c r="G329" s="697"/>
      <c r="H329" s="697"/>
      <c r="I329" s="697"/>
      <c r="J329" s="697"/>
      <c r="K329" s="697"/>
      <c r="L329" s="697"/>
      <c r="M329" s="690"/>
      <c r="N329" s="605">
        <f>'RAB 2.2.16'!S26</f>
        <v>975000</v>
      </c>
      <c r="O329" s="605"/>
      <c r="P329" s="605"/>
      <c r="Q329" s="637"/>
    </row>
    <row r="330" spans="1:19" s="242" customFormat="1" ht="15" customHeight="1">
      <c r="A330" s="689"/>
      <c r="B330" s="691"/>
      <c r="C330" s="691"/>
      <c r="D330" s="691"/>
      <c r="E330" s="600"/>
      <c r="F330" s="697" t="str">
        <f>'RAB 2.2.16'!I27</f>
        <v>- Ka. Kelompok</v>
      </c>
      <c r="G330" s="697"/>
      <c r="H330" s="697"/>
      <c r="I330" s="697"/>
      <c r="J330" s="697"/>
      <c r="K330" s="697"/>
      <c r="L330" s="697"/>
      <c r="M330" s="690"/>
      <c r="N330" s="605">
        <f>'RAB 2.2.16'!S27</f>
        <v>1275000</v>
      </c>
      <c r="O330" s="605"/>
      <c r="P330" s="605"/>
      <c r="Q330" s="637"/>
      <c r="S330" s="311">
        <f>N314+N332</f>
        <v>97447700</v>
      </c>
    </row>
    <row r="331" spans="1:19" s="242" customFormat="1" ht="15" customHeight="1">
      <c r="A331" s="689">
        <v>2</v>
      </c>
      <c r="B331" s="691">
        <v>2</v>
      </c>
      <c r="C331" s="691">
        <v>16</v>
      </c>
      <c r="D331" s="691">
        <v>2</v>
      </c>
      <c r="E331" s="758" t="s">
        <v>60</v>
      </c>
      <c r="F331" s="759"/>
      <c r="G331" s="759"/>
      <c r="H331" s="759"/>
      <c r="I331" s="759"/>
      <c r="J331" s="759"/>
      <c r="K331" s="759"/>
      <c r="L331" s="759"/>
      <c r="M331" s="690"/>
      <c r="N331" s="598">
        <f>SUM(N332+N377)</f>
        <v>80927200</v>
      </c>
      <c r="O331" s="598"/>
      <c r="P331" s="598"/>
      <c r="Q331" s="637"/>
    </row>
    <row r="332" spans="1:19" s="242" customFormat="1" ht="15" customHeight="1">
      <c r="A332" s="450"/>
      <c r="B332" s="615"/>
      <c r="C332" s="615"/>
      <c r="D332" s="615"/>
      <c r="E332" s="678" t="s">
        <v>14</v>
      </c>
      <c r="F332" s="455" t="str">
        <f>'RAB 2.2.16'!I29</f>
        <v>Pembangunan Taman Kanak-Kanak</v>
      </c>
      <c r="G332" s="703"/>
      <c r="H332" s="703"/>
      <c r="I332" s="703"/>
      <c r="J332" s="703"/>
      <c r="K332" s="703"/>
      <c r="L332" s="703"/>
      <c r="M332" s="679"/>
      <c r="N332" s="680">
        <f>SUM(N333:N375)</f>
        <v>64632700</v>
      </c>
      <c r="O332" s="680"/>
      <c r="P332" s="680"/>
      <c r="Q332" s="639"/>
    </row>
    <row r="333" spans="1:19" s="242" customFormat="1" ht="15" customHeight="1">
      <c r="A333" s="689"/>
      <c r="B333" s="691"/>
      <c r="C333" s="691"/>
      <c r="D333" s="691"/>
      <c r="E333" s="696"/>
      <c r="F333" s="628" t="s">
        <v>326</v>
      </c>
      <c r="G333" s="697"/>
      <c r="H333" s="697"/>
      <c r="I333" s="697"/>
      <c r="J333" s="697"/>
      <c r="K333" s="697"/>
      <c r="L333" s="697"/>
      <c r="M333" s="690"/>
      <c r="N333" s="605">
        <f>'RAB 2.2.16'!S30</f>
        <v>5850000</v>
      </c>
      <c r="O333" s="605"/>
      <c r="P333" s="605"/>
      <c r="Q333" s="637"/>
    </row>
    <row r="334" spans="1:19" s="242" customFormat="1" ht="15" customHeight="1">
      <c r="A334" s="689"/>
      <c r="B334" s="691"/>
      <c r="C334" s="691"/>
      <c r="D334" s="691"/>
      <c r="E334" s="696"/>
      <c r="F334" s="628" t="s">
        <v>327</v>
      </c>
      <c r="G334" s="697"/>
      <c r="H334" s="697"/>
      <c r="I334" s="697"/>
      <c r="J334" s="697"/>
      <c r="K334" s="697"/>
      <c r="L334" s="697"/>
      <c r="M334" s="690"/>
      <c r="N334" s="605">
        <f>'RAB 2.2.16'!S31</f>
        <v>4110750</v>
      </c>
      <c r="O334" s="605"/>
      <c r="P334" s="605"/>
      <c r="Q334" s="637"/>
    </row>
    <row r="335" spans="1:19" s="242" customFormat="1" ht="15" customHeight="1">
      <c r="A335" s="689"/>
      <c r="B335" s="691"/>
      <c r="C335" s="691"/>
      <c r="D335" s="691"/>
      <c r="E335" s="696"/>
      <c r="F335" s="628" t="s">
        <v>62</v>
      </c>
      <c r="G335" s="697"/>
      <c r="H335" s="697"/>
      <c r="I335" s="697"/>
      <c r="J335" s="697"/>
      <c r="K335" s="697"/>
      <c r="L335" s="697"/>
      <c r="M335" s="690"/>
      <c r="N335" s="605">
        <f>'RAB 2.2.16'!S32</f>
        <v>10725000</v>
      </c>
      <c r="O335" s="605"/>
      <c r="P335" s="605"/>
      <c r="Q335" s="637"/>
    </row>
    <row r="336" spans="1:19" s="242" customFormat="1" ht="15" customHeight="1">
      <c r="A336" s="689"/>
      <c r="B336" s="691"/>
      <c r="C336" s="691"/>
      <c r="D336" s="691"/>
      <c r="E336" s="696"/>
      <c r="F336" s="628" t="s">
        <v>328</v>
      </c>
      <c r="G336" s="697"/>
      <c r="H336" s="697"/>
      <c r="I336" s="697"/>
      <c r="J336" s="697"/>
      <c r="K336" s="697"/>
      <c r="L336" s="697"/>
      <c r="M336" s="690"/>
      <c r="N336" s="605">
        <f>'RAB 2.2.16'!S33</f>
        <v>850000</v>
      </c>
      <c r="O336" s="605"/>
      <c r="P336" s="605"/>
      <c r="Q336" s="637"/>
    </row>
    <row r="337" spans="1:17" s="242" customFormat="1" ht="15" customHeight="1">
      <c r="A337" s="689"/>
      <c r="B337" s="691"/>
      <c r="C337" s="691"/>
      <c r="D337" s="691"/>
      <c r="E337" s="696"/>
      <c r="F337" s="628" t="s">
        <v>329</v>
      </c>
      <c r="G337" s="697"/>
      <c r="H337" s="697"/>
      <c r="I337" s="697"/>
      <c r="J337" s="697"/>
      <c r="K337" s="697"/>
      <c r="L337" s="697"/>
      <c r="M337" s="690"/>
      <c r="N337" s="605">
        <f>'RAB 2.2.16'!S34</f>
        <v>6619500</v>
      </c>
      <c r="O337" s="605"/>
      <c r="P337" s="605"/>
      <c r="Q337" s="637"/>
    </row>
    <row r="338" spans="1:17" s="242" customFormat="1" ht="15" customHeight="1">
      <c r="A338" s="689"/>
      <c r="B338" s="691"/>
      <c r="C338" s="691"/>
      <c r="D338" s="691"/>
      <c r="E338" s="696"/>
      <c r="F338" s="628" t="s">
        <v>330</v>
      </c>
      <c r="G338" s="697"/>
      <c r="H338" s="697"/>
      <c r="I338" s="697"/>
      <c r="J338" s="697"/>
      <c r="K338" s="697"/>
      <c r="L338" s="697"/>
      <c r="M338" s="690"/>
      <c r="N338" s="605">
        <f>'RAB 2.2.16'!S35</f>
        <v>2175000</v>
      </c>
      <c r="O338" s="605"/>
      <c r="P338" s="605"/>
      <c r="Q338" s="637"/>
    </row>
    <row r="339" spans="1:17" s="242" customFormat="1" ht="15" customHeight="1">
      <c r="A339" s="689"/>
      <c r="B339" s="691"/>
      <c r="C339" s="691"/>
      <c r="D339" s="691"/>
      <c r="E339" s="696"/>
      <c r="F339" s="628" t="s">
        <v>331</v>
      </c>
      <c r="G339" s="697"/>
      <c r="H339" s="697"/>
      <c r="I339" s="697"/>
      <c r="J339" s="697"/>
      <c r="K339" s="697"/>
      <c r="L339" s="697"/>
      <c r="M339" s="690"/>
      <c r="N339" s="605">
        <f>'RAB 2.2.16'!S36</f>
        <v>0</v>
      </c>
      <c r="O339" s="605"/>
      <c r="P339" s="605"/>
      <c r="Q339" s="637"/>
    </row>
    <row r="340" spans="1:17" s="242" customFormat="1" ht="15" customHeight="1">
      <c r="A340" s="689"/>
      <c r="B340" s="691"/>
      <c r="C340" s="691"/>
      <c r="D340" s="691"/>
      <c r="E340" s="696"/>
      <c r="F340" s="628" t="s">
        <v>332</v>
      </c>
      <c r="G340" s="697"/>
      <c r="H340" s="697"/>
      <c r="I340" s="697"/>
      <c r="J340" s="697"/>
      <c r="K340" s="697"/>
      <c r="L340" s="697"/>
      <c r="M340" s="690"/>
      <c r="N340" s="605">
        <f>'RAB 2.2.16'!S37</f>
        <v>4900000</v>
      </c>
      <c r="O340" s="605"/>
      <c r="P340" s="605"/>
      <c r="Q340" s="637"/>
    </row>
    <row r="341" spans="1:17" s="242" customFormat="1" ht="15" customHeight="1">
      <c r="A341" s="689"/>
      <c r="B341" s="691"/>
      <c r="C341" s="691"/>
      <c r="D341" s="691"/>
      <c r="E341" s="696"/>
      <c r="F341" s="628" t="s">
        <v>333</v>
      </c>
      <c r="G341" s="697"/>
      <c r="H341" s="697"/>
      <c r="I341" s="697"/>
      <c r="J341" s="697"/>
      <c r="K341" s="697"/>
      <c r="L341" s="697"/>
      <c r="M341" s="690"/>
      <c r="N341" s="605">
        <f>'RAB 2.2.16'!S38</f>
        <v>1560000</v>
      </c>
      <c r="O341" s="605"/>
      <c r="P341" s="605"/>
      <c r="Q341" s="637"/>
    </row>
    <row r="342" spans="1:17" s="242" customFormat="1" ht="15" customHeight="1">
      <c r="A342" s="689"/>
      <c r="B342" s="691"/>
      <c r="C342" s="691"/>
      <c r="D342" s="691"/>
      <c r="E342" s="696"/>
      <c r="F342" s="628" t="s">
        <v>334</v>
      </c>
      <c r="G342" s="697"/>
      <c r="H342" s="697"/>
      <c r="I342" s="697"/>
      <c r="J342" s="697"/>
      <c r="K342" s="697"/>
      <c r="L342" s="697"/>
      <c r="M342" s="690"/>
      <c r="N342" s="605">
        <f>'RAB 2.2.16'!S39</f>
        <v>840000</v>
      </c>
      <c r="O342" s="605"/>
      <c r="P342" s="605"/>
      <c r="Q342" s="637"/>
    </row>
    <row r="343" spans="1:17" s="242" customFormat="1" ht="15" customHeight="1">
      <c r="A343" s="689"/>
      <c r="B343" s="691"/>
      <c r="C343" s="691"/>
      <c r="D343" s="691"/>
      <c r="E343" s="696"/>
      <c r="F343" s="628" t="s">
        <v>335</v>
      </c>
      <c r="G343" s="697"/>
      <c r="H343" s="697"/>
      <c r="I343" s="697"/>
      <c r="J343" s="697"/>
      <c r="K343" s="697"/>
      <c r="L343" s="697"/>
      <c r="M343" s="690"/>
      <c r="N343" s="605">
        <f>'RAB 2.2.16'!S40</f>
        <v>3680000</v>
      </c>
      <c r="O343" s="605"/>
      <c r="P343" s="605"/>
      <c r="Q343" s="637"/>
    </row>
    <row r="344" spans="1:17" s="242" customFormat="1" ht="15" customHeight="1">
      <c r="A344" s="689"/>
      <c r="B344" s="691"/>
      <c r="C344" s="691"/>
      <c r="D344" s="691"/>
      <c r="E344" s="696"/>
      <c r="F344" s="628" t="s">
        <v>336</v>
      </c>
      <c r="G344" s="697"/>
      <c r="H344" s="697"/>
      <c r="I344" s="697"/>
      <c r="J344" s="697"/>
      <c r="K344" s="697"/>
      <c r="L344" s="697"/>
      <c r="M344" s="690"/>
      <c r="N344" s="605">
        <f>'RAB 2.2.16'!S41</f>
        <v>325000</v>
      </c>
      <c r="O344" s="605"/>
      <c r="P344" s="605"/>
      <c r="Q344" s="637"/>
    </row>
    <row r="345" spans="1:17" s="242" customFormat="1" ht="15" customHeight="1">
      <c r="A345" s="689"/>
      <c r="B345" s="691"/>
      <c r="C345" s="691"/>
      <c r="D345" s="691"/>
      <c r="E345" s="696"/>
      <c r="F345" s="628" t="s">
        <v>337</v>
      </c>
      <c r="G345" s="697"/>
      <c r="H345" s="697"/>
      <c r="I345" s="697"/>
      <c r="J345" s="697"/>
      <c r="K345" s="697"/>
      <c r="L345" s="697"/>
      <c r="M345" s="690"/>
      <c r="N345" s="605">
        <f>'RAB 2.2.16'!S42</f>
        <v>4641000</v>
      </c>
      <c r="O345" s="605"/>
      <c r="P345" s="605"/>
      <c r="Q345" s="637"/>
    </row>
    <row r="346" spans="1:17" s="242" customFormat="1" ht="15" customHeight="1">
      <c r="A346" s="689"/>
      <c r="B346" s="691"/>
      <c r="C346" s="691"/>
      <c r="D346" s="691"/>
      <c r="E346" s="696"/>
      <c r="F346" s="628" t="s">
        <v>338</v>
      </c>
      <c r="G346" s="697"/>
      <c r="H346" s="697"/>
      <c r="I346" s="697"/>
      <c r="J346" s="697"/>
      <c r="K346" s="697"/>
      <c r="L346" s="697"/>
      <c r="M346" s="690"/>
      <c r="N346" s="605">
        <f>'RAB 2.2.16'!S43</f>
        <v>350000</v>
      </c>
      <c r="O346" s="605"/>
      <c r="P346" s="605"/>
      <c r="Q346" s="637"/>
    </row>
    <row r="347" spans="1:17" s="242" customFormat="1" ht="15" customHeight="1">
      <c r="A347" s="689"/>
      <c r="B347" s="691"/>
      <c r="C347" s="691"/>
      <c r="D347" s="691"/>
      <c r="E347" s="696"/>
      <c r="F347" s="628" t="s">
        <v>339</v>
      </c>
      <c r="G347" s="697"/>
      <c r="H347" s="697"/>
      <c r="I347" s="697"/>
      <c r="J347" s="697"/>
      <c r="K347" s="697"/>
      <c r="L347" s="697"/>
      <c r="M347" s="690"/>
      <c r="N347" s="605">
        <f>'RAB 2.2.16'!S44</f>
        <v>85750</v>
      </c>
      <c r="O347" s="605"/>
      <c r="P347" s="605"/>
      <c r="Q347" s="637"/>
    </row>
    <row r="348" spans="1:17" s="242" customFormat="1" ht="15" customHeight="1">
      <c r="A348" s="689"/>
      <c r="B348" s="691"/>
      <c r="C348" s="691"/>
      <c r="D348" s="691"/>
      <c r="E348" s="696"/>
      <c r="F348" s="628" t="s">
        <v>340</v>
      </c>
      <c r="G348" s="697"/>
      <c r="H348" s="697"/>
      <c r="I348" s="697"/>
      <c r="J348" s="697"/>
      <c r="K348" s="697"/>
      <c r="L348" s="697"/>
      <c r="M348" s="690"/>
      <c r="N348" s="605">
        <f>'RAB 2.2.16'!S45</f>
        <v>377100.00000000006</v>
      </c>
      <c r="O348" s="605"/>
      <c r="P348" s="605"/>
      <c r="Q348" s="637"/>
    </row>
    <row r="349" spans="1:17" s="242" customFormat="1" ht="15" customHeight="1">
      <c r="A349" s="689"/>
      <c r="B349" s="691"/>
      <c r="C349" s="691"/>
      <c r="D349" s="691"/>
      <c r="E349" s="696"/>
      <c r="F349" s="628" t="s">
        <v>341</v>
      </c>
      <c r="G349" s="697"/>
      <c r="H349" s="697"/>
      <c r="I349" s="697"/>
      <c r="J349" s="697"/>
      <c r="K349" s="697"/>
      <c r="L349" s="697"/>
      <c r="M349" s="690"/>
      <c r="N349" s="605">
        <f>'RAB 2.2.16'!S46</f>
        <v>2470000</v>
      </c>
      <c r="O349" s="605"/>
      <c r="P349" s="605"/>
      <c r="Q349" s="637"/>
    </row>
    <row r="350" spans="1:17" s="242" customFormat="1" ht="15" customHeight="1">
      <c r="A350" s="689"/>
      <c r="B350" s="691"/>
      <c r="C350" s="691"/>
      <c r="D350" s="691"/>
      <c r="E350" s="696"/>
      <c r="F350" s="628" t="s">
        <v>342</v>
      </c>
      <c r="G350" s="697"/>
      <c r="H350" s="697"/>
      <c r="I350" s="697"/>
      <c r="J350" s="697"/>
      <c r="K350" s="697"/>
      <c r="L350" s="697"/>
      <c r="M350" s="690"/>
      <c r="N350" s="605">
        <f>'RAB 2.2.16'!S47</f>
        <v>242000</v>
      </c>
      <c r="O350" s="605"/>
      <c r="P350" s="605"/>
      <c r="Q350" s="637"/>
    </row>
    <row r="351" spans="1:17" s="242" customFormat="1" ht="15" customHeight="1">
      <c r="A351" s="689"/>
      <c r="B351" s="691"/>
      <c r="C351" s="691"/>
      <c r="D351" s="691"/>
      <c r="E351" s="696"/>
      <c r="F351" s="628" t="s">
        <v>343</v>
      </c>
      <c r="G351" s="697"/>
      <c r="H351" s="697"/>
      <c r="I351" s="697"/>
      <c r="J351" s="697"/>
      <c r="K351" s="697"/>
      <c r="L351" s="697"/>
      <c r="M351" s="690"/>
      <c r="N351" s="605">
        <f>'RAB 2.2.16'!S48</f>
        <v>180000</v>
      </c>
      <c r="O351" s="605"/>
      <c r="P351" s="605"/>
      <c r="Q351" s="637"/>
    </row>
    <row r="352" spans="1:17" s="242" customFormat="1" ht="15" customHeight="1">
      <c r="A352" s="689"/>
      <c r="B352" s="691"/>
      <c r="C352" s="691"/>
      <c r="D352" s="691"/>
      <c r="E352" s="696"/>
      <c r="F352" s="628" t="s">
        <v>344</v>
      </c>
      <c r="G352" s="697"/>
      <c r="H352" s="697"/>
      <c r="I352" s="697"/>
      <c r="J352" s="697"/>
      <c r="K352" s="697"/>
      <c r="L352" s="697"/>
      <c r="M352" s="690"/>
      <c r="N352" s="605">
        <f>'RAB 2.2.16'!S49</f>
        <v>100800</v>
      </c>
      <c r="O352" s="605"/>
      <c r="P352" s="605"/>
      <c r="Q352" s="637"/>
    </row>
    <row r="353" spans="1:17" s="242" customFormat="1" ht="15" customHeight="1">
      <c r="A353" s="689"/>
      <c r="B353" s="691"/>
      <c r="C353" s="691"/>
      <c r="D353" s="691"/>
      <c r="E353" s="696"/>
      <c r="F353" s="628" t="s">
        <v>345</v>
      </c>
      <c r="G353" s="697"/>
      <c r="H353" s="697"/>
      <c r="I353" s="697"/>
      <c r="J353" s="697"/>
      <c r="K353" s="697"/>
      <c r="L353" s="697"/>
      <c r="M353" s="690"/>
      <c r="N353" s="605">
        <f>'RAB 2.2.16'!S50</f>
        <v>875000</v>
      </c>
      <c r="O353" s="605"/>
      <c r="P353" s="605"/>
      <c r="Q353" s="637"/>
    </row>
    <row r="354" spans="1:17" s="242" customFormat="1" ht="15" customHeight="1">
      <c r="A354" s="689"/>
      <c r="B354" s="691"/>
      <c r="C354" s="691"/>
      <c r="D354" s="691"/>
      <c r="E354" s="696"/>
      <c r="F354" s="628" t="s">
        <v>346</v>
      </c>
      <c r="G354" s="697"/>
      <c r="H354" s="697"/>
      <c r="I354" s="697"/>
      <c r="J354" s="697"/>
      <c r="K354" s="697"/>
      <c r="L354" s="697"/>
      <c r="M354" s="690"/>
      <c r="N354" s="605">
        <f>'RAB 2.2.16'!S51</f>
        <v>45000</v>
      </c>
      <c r="O354" s="605"/>
      <c r="P354" s="605"/>
      <c r="Q354" s="637"/>
    </row>
    <row r="355" spans="1:17" s="242" customFormat="1" ht="15" customHeight="1">
      <c r="A355" s="689"/>
      <c r="B355" s="691"/>
      <c r="C355" s="691"/>
      <c r="D355" s="691"/>
      <c r="E355" s="696"/>
      <c r="F355" s="628" t="s">
        <v>347</v>
      </c>
      <c r="G355" s="697"/>
      <c r="H355" s="697"/>
      <c r="I355" s="697"/>
      <c r="J355" s="697"/>
      <c r="K355" s="697"/>
      <c r="L355" s="697"/>
      <c r="M355" s="690"/>
      <c r="N355" s="605">
        <f>'RAB 2.2.16'!S52</f>
        <v>300000</v>
      </c>
      <c r="O355" s="605"/>
      <c r="P355" s="605"/>
      <c r="Q355" s="637"/>
    </row>
    <row r="356" spans="1:17" s="242" customFormat="1" ht="15" customHeight="1">
      <c r="A356" s="689"/>
      <c r="B356" s="691"/>
      <c r="C356" s="691"/>
      <c r="D356" s="691"/>
      <c r="E356" s="696"/>
      <c r="F356" s="628" t="s">
        <v>348</v>
      </c>
      <c r="G356" s="697"/>
      <c r="H356" s="697"/>
      <c r="I356" s="697"/>
      <c r="J356" s="697"/>
      <c r="K356" s="697"/>
      <c r="L356" s="697"/>
      <c r="M356" s="690"/>
      <c r="N356" s="605">
        <f>'RAB 2.2.16'!S53</f>
        <v>450000</v>
      </c>
      <c r="O356" s="605"/>
      <c r="P356" s="605"/>
      <c r="Q356" s="637"/>
    </row>
    <row r="357" spans="1:17" s="242" customFormat="1" ht="15" customHeight="1">
      <c r="A357" s="689"/>
      <c r="B357" s="691"/>
      <c r="C357" s="691"/>
      <c r="D357" s="691"/>
      <c r="E357" s="696"/>
      <c r="F357" s="628" t="s">
        <v>349</v>
      </c>
      <c r="G357" s="697"/>
      <c r="H357" s="697"/>
      <c r="I357" s="697"/>
      <c r="J357" s="697"/>
      <c r="K357" s="697"/>
      <c r="L357" s="697"/>
      <c r="M357" s="690"/>
      <c r="N357" s="605">
        <f>'RAB 2.2.16'!S54</f>
        <v>70000</v>
      </c>
      <c r="O357" s="605"/>
      <c r="P357" s="605"/>
      <c r="Q357" s="637"/>
    </row>
    <row r="358" spans="1:17" s="242" customFormat="1" ht="15" customHeight="1">
      <c r="A358" s="689"/>
      <c r="B358" s="691"/>
      <c r="C358" s="691"/>
      <c r="D358" s="691"/>
      <c r="E358" s="696"/>
      <c r="F358" s="628" t="s">
        <v>350</v>
      </c>
      <c r="G358" s="697"/>
      <c r="H358" s="697"/>
      <c r="I358" s="697"/>
      <c r="J358" s="697"/>
      <c r="K358" s="697"/>
      <c r="L358" s="697"/>
      <c r="M358" s="690"/>
      <c r="N358" s="605">
        <f>'RAB 2.2.16'!S55</f>
        <v>3500</v>
      </c>
      <c r="O358" s="605"/>
      <c r="P358" s="605"/>
      <c r="Q358" s="637"/>
    </row>
    <row r="359" spans="1:17" s="242" customFormat="1" ht="15" customHeight="1">
      <c r="A359" s="689"/>
      <c r="B359" s="691"/>
      <c r="C359" s="691"/>
      <c r="D359" s="691"/>
      <c r="E359" s="696"/>
      <c r="F359" s="628" t="s">
        <v>351</v>
      </c>
      <c r="G359" s="697"/>
      <c r="H359" s="697"/>
      <c r="I359" s="697"/>
      <c r="J359" s="697"/>
      <c r="K359" s="697"/>
      <c r="L359" s="697"/>
      <c r="M359" s="690"/>
      <c r="N359" s="605">
        <f>'RAB 2.2.16'!S56</f>
        <v>15000</v>
      </c>
      <c r="O359" s="605"/>
      <c r="P359" s="605"/>
      <c r="Q359" s="637"/>
    </row>
    <row r="360" spans="1:17" s="242" customFormat="1" ht="15" customHeight="1">
      <c r="A360" s="689"/>
      <c r="B360" s="691"/>
      <c r="C360" s="691"/>
      <c r="D360" s="691"/>
      <c r="E360" s="696"/>
      <c r="F360" s="628" t="s">
        <v>352</v>
      </c>
      <c r="G360" s="697"/>
      <c r="H360" s="697"/>
      <c r="I360" s="697"/>
      <c r="J360" s="697"/>
      <c r="K360" s="697"/>
      <c r="L360" s="697"/>
      <c r="M360" s="690"/>
      <c r="N360" s="605">
        <f>'RAB 2.2.16'!S57</f>
        <v>14000</v>
      </c>
      <c r="O360" s="605"/>
      <c r="P360" s="605"/>
      <c r="Q360" s="637"/>
    </row>
    <row r="361" spans="1:17" s="242" customFormat="1" ht="15" customHeight="1">
      <c r="A361" s="689"/>
      <c r="B361" s="691"/>
      <c r="C361" s="691"/>
      <c r="D361" s="691"/>
      <c r="E361" s="696"/>
      <c r="F361" s="628" t="s">
        <v>353</v>
      </c>
      <c r="G361" s="697"/>
      <c r="H361" s="697"/>
      <c r="I361" s="697"/>
      <c r="J361" s="697"/>
      <c r="K361" s="697"/>
      <c r="L361" s="697"/>
      <c r="M361" s="690"/>
      <c r="N361" s="605">
        <f>'RAB 2.2.16'!S58</f>
        <v>10000</v>
      </c>
      <c r="O361" s="605"/>
      <c r="P361" s="605"/>
      <c r="Q361" s="637"/>
    </row>
    <row r="362" spans="1:17" s="242" customFormat="1" ht="15" customHeight="1">
      <c r="A362" s="689"/>
      <c r="B362" s="691"/>
      <c r="C362" s="691"/>
      <c r="D362" s="691"/>
      <c r="E362" s="696"/>
      <c r="F362" s="628" t="s">
        <v>354</v>
      </c>
      <c r="G362" s="697"/>
      <c r="H362" s="697"/>
      <c r="I362" s="697"/>
      <c r="J362" s="697"/>
      <c r="K362" s="697"/>
      <c r="L362" s="697"/>
      <c r="M362" s="690"/>
      <c r="N362" s="605">
        <f>'RAB 2.2.16'!S59</f>
        <v>170000</v>
      </c>
      <c r="O362" s="605"/>
      <c r="P362" s="605"/>
      <c r="Q362" s="637"/>
    </row>
    <row r="363" spans="1:17" s="242" customFormat="1" ht="15" customHeight="1">
      <c r="A363" s="689"/>
      <c r="B363" s="691"/>
      <c r="C363" s="691"/>
      <c r="D363" s="691"/>
      <c r="E363" s="696"/>
      <c r="F363" s="628" t="s">
        <v>399</v>
      </c>
      <c r="G363" s="697"/>
      <c r="H363" s="697"/>
      <c r="I363" s="697"/>
      <c r="J363" s="697"/>
      <c r="K363" s="697"/>
      <c r="L363" s="697"/>
      <c r="M363" s="690"/>
      <c r="N363" s="605">
        <f>'RAB 2.2.16'!S60</f>
        <v>130000</v>
      </c>
      <c r="O363" s="605"/>
      <c r="P363" s="605"/>
      <c r="Q363" s="637"/>
    </row>
    <row r="364" spans="1:17" s="242" customFormat="1" ht="15" customHeight="1">
      <c r="A364" s="689"/>
      <c r="B364" s="691"/>
      <c r="C364" s="691"/>
      <c r="D364" s="691"/>
      <c r="E364" s="696"/>
      <c r="F364" s="628" t="s">
        <v>400</v>
      </c>
      <c r="G364" s="697"/>
      <c r="H364" s="697"/>
      <c r="I364" s="697"/>
      <c r="J364" s="697"/>
      <c r="K364" s="697"/>
      <c r="L364" s="697"/>
      <c r="M364" s="690"/>
      <c r="N364" s="605">
        <f>'RAB 2.2.16'!S61</f>
        <v>13000</v>
      </c>
      <c r="O364" s="605"/>
      <c r="P364" s="605"/>
      <c r="Q364" s="637"/>
    </row>
    <row r="365" spans="1:17" s="242" customFormat="1" ht="15" customHeight="1">
      <c r="A365" s="689"/>
      <c r="B365" s="691"/>
      <c r="C365" s="691"/>
      <c r="D365" s="691"/>
      <c r="E365" s="696"/>
      <c r="F365" s="628" t="s">
        <v>401</v>
      </c>
      <c r="G365" s="697"/>
      <c r="H365" s="697"/>
      <c r="I365" s="697"/>
      <c r="J365" s="697"/>
      <c r="K365" s="697"/>
      <c r="L365" s="697"/>
      <c r="M365" s="690"/>
      <c r="N365" s="605">
        <f>'RAB 2.2.16'!S62</f>
        <v>7000</v>
      </c>
      <c r="O365" s="605"/>
      <c r="P365" s="605"/>
      <c r="Q365" s="637"/>
    </row>
    <row r="366" spans="1:17" s="242" customFormat="1" ht="15" customHeight="1">
      <c r="A366" s="689"/>
      <c r="B366" s="691"/>
      <c r="C366" s="691"/>
      <c r="D366" s="691"/>
      <c r="E366" s="696"/>
      <c r="F366" s="628" t="s">
        <v>402</v>
      </c>
      <c r="G366" s="697"/>
      <c r="H366" s="697"/>
      <c r="I366" s="697"/>
      <c r="J366" s="697"/>
      <c r="K366" s="697"/>
      <c r="L366" s="697"/>
      <c r="M366" s="690"/>
      <c r="N366" s="605">
        <f>'RAB 2.2.16'!S63</f>
        <v>100000</v>
      </c>
      <c r="O366" s="605"/>
      <c r="P366" s="605"/>
      <c r="Q366" s="637"/>
    </row>
    <row r="367" spans="1:17" s="242" customFormat="1" ht="15" customHeight="1">
      <c r="A367" s="689"/>
      <c r="B367" s="691"/>
      <c r="C367" s="691"/>
      <c r="D367" s="691"/>
      <c r="E367" s="696"/>
      <c r="F367" s="628" t="s">
        <v>388</v>
      </c>
      <c r="G367" s="697"/>
      <c r="H367" s="697"/>
      <c r="I367" s="697"/>
      <c r="J367" s="697"/>
      <c r="K367" s="697"/>
      <c r="L367" s="697"/>
      <c r="M367" s="690"/>
      <c r="N367" s="605">
        <f>'RAB 2.2.16'!S64</f>
        <v>750000</v>
      </c>
      <c r="O367" s="605"/>
      <c r="P367" s="605"/>
      <c r="Q367" s="637"/>
    </row>
    <row r="368" spans="1:17" s="242" customFormat="1" ht="15" customHeight="1">
      <c r="A368" s="689"/>
      <c r="B368" s="691"/>
      <c r="C368" s="691"/>
      <c r="D368" s="691"/>
      <c r="E368" s="696"/>
      <c r="F368" s="628" t="s">
        <v>360</v>
      </c>
      <c r="G368" s="697"/>
      <c r="H368" s="697"/>
      <c r="I368" s="697"/>
      <c r="J368" s="697"/>
      <c r="K368" s="697"/>
      <c r="L368" s="697"/>
      <c r="M368" s="690"/>
      <c r="N368" s="605">
        <f>'RAB 2.2.16'!S65</f>
        <v>20000</v>
      </c>
      <c r="O368" s="605"/>
      <c r="P368" s="605"/>
      <c r="Q368" s="637"/>
    </row>
    <row r="369" spans="1:17" s="242" customFormat="1" ht="15" customHeight="1">
      <c r="A369" s="689"/>
      <c r="B369" s="691"/>
      <c r="C369" s="691"/>
      <c r="D369" s="691"/>
      <c r="E369" s="696"/>
      <c r="F369" s="628" t="s">
        <v>361</v>
      </c>
      <c r="G369" s="697"/>
      <c r="H369" s="697"/>
      <c r="I369" s="697"/>
      <c r="J369" s="697"/>
      <c r="K369" s="697"/>
      <c r="L369" s="697"/>
      <c r="M369" s="690"/>
      <c r="N369" s="605">
        <f>'RAB 2.2.16'!S66</f>
        <v>50000</v>
      </c>
      <c r="O369" s="605"/>
      <c r="P369" s="605"/>
      <c r="Q369" s="637"/>
    </row>
    <row r="370" spans="1:17" s="242" customFormat="1" ht="15" customHeight="1">
      <c r="A370" s="689"/>
      <c r="B370" s="691"/>
      <c r="C370" s="691"/>
      <c r="D370" s="691"/>
      <c r="E370" s="696"/>
      <c r="F370" s="628" t="s">
        <v>362</v>
      </c>
      <c r="G370" s="697"/>
      <c r="H370" s="697"/>
      <c r="I370" s="697"/>
      <c r="J370" s="697"/>
      <c r="K370" s="697"/>
      <c r="L370" s="697"/>
      <c r="M370" s="690"/>
      <c r="N370" s="605">
        <f>'RAB 2.2.16'!S67</f>
        <v>15000</v>
      </c>
      <c r="O370" s="605"/>
      <c r="P370" s="605"/>
      <c r="Q370" s="637"/>
    </row>
    <row r="371" spans="1:17" s="242" customFormat="1" ht="15" customHeight="1">
      <c r="A371" s="689"/>
      <c r="B371" s="691"/>
      <c r="C371" s="691"/>
      <c r="D371" s="691"/>
      <c r="E371" s="696"/>
      <c r="F371" s="628" t="s">
        <v>390</v>
      </c>
      <c r="G371" s="697"/>
      <c r="H371" s="697"/>
      <c r="I371" s="697"/>
      <c r="J371" s="697"/>
      <c r="K371" s="697"/>
      <c r="L371" s="697"/>
      <c r="M371" s="690"/>
      <c r="N371" s="605">
        <f>'RAB 2.2.16'!S68</f>
        <v>1740000</v>
      </c>
      <c r="O371" s="605"/>
      <c r="P371" s="605"/>
      <c r="Q371" s="637"/>
    </row>
    <row r="372" spans="1:17" s="242" customFormat="1" ht="15" customHeight="1">
      <c r="A372" s="689"/>
      <c r="B372" s="691"/>
      <c r="C372" s="691"/>
      <c r="D372" s="691"/>
      <c r="E372" s="696"/>
      <c r="F372" s="628" t="s">
        <v>363</v>
      </c>
      <c r="G372" s="697"/>
      <c r="H372" s="697"/>
      <c r="I372" s="697"/>
      <c r="J372" s="697"/>
      <c r="K372" s="697"/>
      <c r="L372" s="697"/>
      <c r="M372" s="690"/>
      <c r="N372" s="605">
        <f>'RAB 2.2.16'!S79</f>
        <v>160000</v>
      </c>
      <c r="O372" s="605"/>
      <c r="P372" s="605"/>
      <c r="Q372" s="637"/>
    </row>
    <row r="373" spans="1:17" s="242" customFormat="1" ht="15" customHeight="1">
      <c r="A373" s="689"/>
      <c r="B373" s="691"/>
      <c r="C373" s="691"/>
      <c r="D373" s="691"/>
      <c r="E373" s="696"/>
      <c r="F373" s="628" t="s">
        <v>364</v>
      </c>
      <c r="G373" s="697"/>
      <c r="H373" s="697"/>
      <c r="I373" s="697"/>
      <c r="J373" s="697"/>
      <c r="K373" s="697"/>
      <c r="L373" s="697"/>
      <c r="M373" s="690"/>
      <c r="N373" s="605">
        <f>'RAB 2.2.16'!S80</f>
        <v>413300</v>
      </c>
      <c r="O373" s="605"/>
      <c r="P373" s="605"/>
      <c r="Q373" s="637"/>
    </row>
    <row r="374" spans="1:17" s="242" customFormat="1" ht="15" customHeight="1">
      <c r="A374" s="689"/>
      <c r="B374" s="691"/>
      <c r="C374" s="691"/>
      <c r="D374" s="691"/>
      <c r="E374" s="696"/>
      <c r="F374" s="705" t="s">
        <v>391</v>
      </c>
      <c r="G374" s="697"/>
      <c r="H374" s="697"/>
      <c r="I374" s="697"/>
      <c r="J374" s="697"/>
      <c r="K374" s="697"/>
      <c r="L374" s="697"/>
      <c r="M374" s="690"/>
      <c r="N374" s="605">
        <f>'RAB 2.2.16'!S81</f>
        <v>8750000</v>
      </c>
      <c r="O374" s="605"/>
      <c r="P374" s="605"/>
      <c r="Q374" s="637"/>
    </row>
    <row r="375" spans="1:17" s="242" customFormat="1" ht="15" customHeight="1">
      <c r="A375" s="689"/>
      <c r="B375" s="691"/>
      <c r="C375" s="691"/>
      <c r="D375" s="691"/>
      <c r="E375" s="696"/>
      <c r="F375" s="705" t="str">
        <f>'RAB 2.2.16'!I82</f>
        <v>Prasasti</v>
      </c>
      <c r="G375" s="697"/>
      <c r="H375" s="697"/>
      <c r="I375" s="697"/>
      <c r="J375" s="697"/>
      <c r="K375" s="697"/>
      <c r="L375" s="697"/>
      <c r="M375" s="690"/>
      <c r="N375" s="605">
        <f>'RAB 2.2.16'!S82</f>
        <v>450000</v>
      </c>
      <c r="O375" s="605"/>
      <c r="P375" s="605"/>
      <c r="Q375" s="637"/>
    </row>
    <row r="376" spans="1:17" s="242" customFormat="1" ht="6" customHeight="1">
      <c r="A376" s="689"/>
      <c r="B376" s="691"/>
      <c r="C376" s="691"/>
      <c r="D376" s="691"/>
      <c r="E376" s="696"/>
      <c r="F376" s="705"/>
      <c r="G376" s="697"/>
      <c r="H376" s="697"/>
      <c r="I376" s="697"/>
      <c r="J376" s="697"/>
      <c r="K376" s="697"/>
      <c r="L376" s="697"/>
      <c r="M376" s="690"/>
      <c r="N376" s="605"/>
      <c r="O376" s="605"/>
      <c r="P376" s="605"/>
      <c r="Q376" s="637"/>
    </row>
    <row r="377" spans="1:17" s="242" customFormat="1" ht="15" customHeight="1">
      <c r="A377" s="689"/>
      <c r="B377" s="691"/>
      <c r="C377" s="691"/>
      <c r="D377" s="691"/>
      <c r="E377" s="614" t="s">
        <v>14</v>
      </c>
      <c r="F377" s="619" t="str">
        <f>'RAB 2.2.16'!I84</f>
        <v>Rehab TK-PGRI Cibollo</v>
      </c>
      <c r="G377" s="700"/>
      <c r="H377" s="700"/>
      <c r="I377" s="700"/>
      <c r="J377" s="700"/>
      <c r="K377" s="700"/>
      <c r="L377" s="700"/>
      <c r="M377" s="687"/>
      <c r="N377" s="598">
        <f>SUM(N378:N385)</f>
        <v>16294500</v>
      </c>
      <c r="O377" s="598"/>
      <c r="P377" s="598"/>
      <c r="Q377" s="637"/>
    </row>
    <row r="378" spans="1:17" s="242" customFormat="1" ht="15" customHeight="1">
      <c r="A378" s="689"/>
      <c r="B378" s="691"/>
      <c r="C378" s="691"/>
      <c r="D378" s="691"/>
      <c r="E378" s="696"/>
      <c r="F378" s="705" t="str">
        <f>'RAB 2.2.16'!I85</f>
        <v>Pasir Pasang</v>
      </c>
      <c r="G378" s="697"/>
      <c r="H378" s="697"/>
      <c r="I378" s="697"/>
      <c r="J378" s="697"/>
      <c r="K378" s="697"/>
      <c r="L378" s="697"/>
      <c r="M378" s="690"/>
      <c r="N378" s="605">
        <f>'RAB 2.2.16'!S85</f>
        <v>225000</v>
      </c>
      <c r="O378" s="605"/>
      <c r="P378" s="605"/>
      <c r="Q378" s="637"/>
    </row>
    <row r="379" spans="1:17" s="242" customFormat="1" ht="15" customHeight="1">
      <c r="A379" s="689"/>
      <c r="B379" s="691"/>
      <c r="C379" s="691"/>
      <c r="D379" s="691"/>
      <c r="E379" s="696"/>
      <c r="F379" s="705" t="str">
        <f>'RAB 2.2.16'!I86</f>
        <v>Semen</v>
      </c>
      <c r="G379" s="697"/>
      <c r="H379" s="697"/>
      <c r="I379" s="697"/>
      <c r="J379" s="697"/>
      <c r="K379" s="697"/>
      <c r="L379" s="697"/>
      <c r="M379" s="690"/>
      <c r="N379" s="605">
        <f>'RAB 2.2.16'!S86</f>
        <v>130000</v>
      </c>
      <c r="O379" s="605"/>
      <c r="P379" s="605"/>
      <c r="Q379" s="637"/>
    </row>
    <row r="380" spans="1:17" s="242" customFormat="1" ht="15" customHeight="1">
      <c r="A380" s="689"/>
      <c r="B380" s="691"/>
      <c r="C380" s="691"/>
      <c r="D380" s="691"/>
      <c r="E380" s="696"/>
      <c r="F380" s="705" t="str">
        <f>'RAB 2.2.16'!I87</f>
        <v>Keramik 20/20</v>
      </c>
      <c r="G380" s="697"/>
      <c r="H380" s="697"/>
      <c r="I380" s="697"/>
      <c r="J380" s="697"/>
      <c r="K380" s="697"/>
      <c r="L380" s="697"/>
      <c r="M380" s="690"/>
      <c r="N380" s="605">
        <f>'RAB 2.2.16'!S87</f>
        <v>300000</v>
      </c>
      <c r="O380" s="605"/>
      <c r="P380" s="605"/>
      <c r="Q380" s="637"/>
    </row>
    <row r="381" spans="1:17" s="242" customFormat="1" ht="15" customHeight="1">
      <c r="A381" s="689"/>
      <c r="B381" s="691"/>
      <c r="C381" s="691"/>
      <c r="D381" s="691"/>
      <c r="E381" s="696"/>
      <c r="F381" s="705" t="str">
        <f>'RAB 2.2.16'!I88</f>
        <v>Pipa Pembuangan</v>
      </c>
      <c r="G381" s="697"/>
      <c r="H381" s="697"/>
      <c r="I381" s="697"/>
      <c r="J381" s="697"/>
      <c r="K381" s="697"/>
      <c r="L381" s="697"/>
      <c r="M381" s="690"/>
      <c r="N381" s="605">
        <f>'RAB 2.2.16'!S88</f>
        <v>140000</v>
      </c>
      <c r="O381" s="605"/>
      <c r="P381" s="605"/>
      <c r="Q381" s="637"/>
    </row>
    <row r="382" spans="1:17" s="242" customFormat="1" ht="15" customHeight="1">
      <c r="A382" s="689"/>
      <c r="B382" s="691"/>
      <c r="C382" s="691"/>
      <c r="D382" s="691"/>
      <c r="E382" s="696"/>
      <c r="F382" s="705" t="str">
        <f>'RAB 2.2.16'!I89</f>
        <v>Rangka Baja Ringan</v>
      </c>
      <c r="G382" s="697"/>
      <c r="H382" s="697"/>
      <c r="I382" s="697"/>
      <c r="J382" s="697"/>
      <c r="K382" s="697"/>
      <c r="L382" s="697"/>
      <c r="M382" s="690"/>
      <c r="N382" s="605">
        <f>'RAB 2.2.16'!S89</f>
        <v>5525000</v>
      </c>
      <c r="O382" s="605"/>
      <c r="P382" s="605"/>
      <c r="Q382" s="637"/>
    </row>
    <row r="383" spans="1:17" s="242" customFormat="1" ht="15" customHeight="1">
      <c r="A383" s="689"/>
      <c r="B383" s="691"/>
      <c r="C383" s="691"/>
      <c r="D383" s="691"/>
      <c r="E383" s="696"/>
      <c r="F383" s="705" t="str">
        <f>'RAB 2.2.16'!I90</f>
        <v>Reng Baja Ringan</v>
      </c>
      <c r="G383" s="697"/>
      <c r="H383" s="697"/>
      <c r="I383" s="697"/>
      <c r="J383" s="697"/>
      <c r="K383" s="697"/>
      <c r="L383" s="697"/>
      <c r="M383" s="690"/>
      <c r="N383" s="605">
        <f>'RAB 2.2.16'!S90</f>
        <v>1800000</v>
      </c>
      <c r="O383" s="605"/>
      <c r="P383" s="605"/>
      <c r="Q383" s="637"/>
    </row>
    <row r="384" spans="1:17" s="242" customFormat="1" ht="15" customHeight="1">
      <c r="A384" s="689"/>
      <c r="B384" s="691"/>
      <c r="C384" s="691"/>
      <c r="D384" s="691"/>
      <c r="E384" s="696"/>
      <c r="F384" s="705" t="str">
        <f>'RAB 2.2.16'!I91</f>
        <v>Baut-baut</v>
      </c>
      <c r="G384" s="697"/>
      <c r="H384" s="697"/>
      <c r="I384" s="697"/>
      <c r="J384" s="697"/>
      <c r="K384" s="697"/>
      <c r="L384" s="697"/>
      <c r="M384" s="690"/>
      <c r="N384" s="605">
        <f>'RAB 2.2.16'!S91</f>
        <v>700000</v>
      </c>
      <c r="O384" s="605"/>
      <c r="P384" s="605"/>
      <c r="Q384" s="637"/>
    </row>
    <row r="385" spans="1:17" s="242" customFormat="1" ht="15" customHeight="1">
      <c r="A385" s="689"/>
      <c r="B385" s="691"/>
      <c r="C385" s="691"/>
      <c r="D385" s="691"/>
      <c r="E385" s="696"/>
      <c r="F385" s="705" t="str">
        <f>'RAB 2.2.16'!I92</f>
        <v>Seng Spandek</v>
      </c>
      <c r="G385" s="697"/>
      <c r="H385" s="697"/>
      <c r="I385" s="697"/>
      <c r="J385" s="697"/>
      <c r="K385" s="697"/>
      <c r="L385" s="697"/>
      <c r="M385" s="690"/>
      <c r="N385" s="605">
        <f>'RAB 2.2.16'!S92</f>
        <v>7474500</v>
      </c>
      <c r="O385" s="605"/>
      <c r="P385" s="605"/>
      <c r="Q385" s="637"/>
    </row>
    <row r="386" spans="1:17" s="242" customFormat="1" ht="15" customHeight="1">
      <c r="A386" s="451"/>
      <c r="B386" s="451"/>
      <c r="C386" s="451"/>
      <c r="D386" s="451"/>
      <c r="E386" s="616"/>
      <c r="F386" s="654"/>
      <c r="G386" s="616"/>
      <c r="H386" s="616"/>
      <c r="I386" s="616"/>
      <c r="J386" s="616"/>
      <c r="K386" s="616"/>
      <c r="L386" s="616"/>
      <c r="M386" s="451"/>
      <c r="N386" s="642"/>
      <c r="O386" s="642"/>
      <c r="P386" s="642"/>
      <c r="Q386" s="643"/>
    </row>
    <row r="387" spans="1:17" s="242" customFormat="1" ht="15" customHeight="1">
      <c r="A387" s="286"/>
      <c r="B387" s="286"/>
      <c r="C387" s="286"/>
      <c r="D387" s="286"/>
      <c r="E387" s="682"/>
      <c r="F387" s="684"/>
      <c r="G387" s="682"/>
      <c r="H387" s="682"/>
      <c r="I387" s="682"/>
      <c r="J387" s="682"/>
      <c r="K387" s="682"/>
      <c r="L387" s="682"/>
      <c r="M387" s="286"/>
      <c r="N387" s="645"/>
      <c r="O387" s="645"/>
      <c r="P387" s="645"/>
      <c r="Q387" s="646"/>
    </row>
    <row r="388" spans="1:17" s="242" customFormat="1" ht="15" customHeight="1">
      <c r="A388" s="286"/>
      <c r="B388" s="286"/>
      <c r="C388" s="286"/>
      <c r="D388" s="286"/>
      <c r="E388" s="682"/>
      <c r="F388" s="684"/>
      <c r="G388" s="682"/>
      <c r="H388" s="682"/>
      <c r="I388" s="682"/>
      <c r="J388" s="682"/>
      <c r="K388" s="682"/>
      <c r="L388" s="682"/>
      <c r="M388" s="286"/>
      <c r="N388" s="645"/>
      <c r="O388" s="645"/>
      <c r="P388" s="645"/>
      <c r="Q388" s="646"/>
    </row>
    <row r="389" spans="1:17" s="242" customFormat="1" ht="15" customHeight="1">
      <c r="A389" s="286"/>
      <c r="B389" s="286"/>
      <c r="C389" s="286"/>
      <c r="D389" s="286"/>
      <c r="E389" s="682"/>
      <c r="F389" s="684"/>
      <c r="G389" s="682"/>
      <c r="H389" s="682"/>
      <c r="I389" s="682"/>
      <c r="J389" s="682"/>
      <c r="K389" s="682"/>
      <c r="L389" s="682"/>
      <c r="M389" s="286"/>
      <c r="N389" s="645"/>
      <c r="O389" s="645"/>
      <c r="P389" s="645"/>
      <c r="Q389" s="646"/>
    </row>
    <row r="390" spans="1:17" s="242" customFormat="1" ht="15" customHeight="1">
      <c r="A390" s="286"/>
      <c r="B390" s="286"/>
      <c r="C390" s="286"/>
      <c r="D390" s="286"/>
      <c r="E390" s="682"/>
      <c r="F390" s="684"/>
      <c r="G390" s="682"/>
      <c r="H390" s="682"/>
      <c r="I390" s="682"/>
      <c r="J390" s="682"/>
      <c r="K390" s="682"/>
      <c r="L390" s="682"/>
      <c r="M390" s="286"/>
      <c r="N390" s="645"/>
      <c r="O390" s="645"/>
      <c r="P390" s="645"/>
      <c r="Q390" s="646"/>
    </row>
    <row r="391" spans="1:17" s="242" customFormat="1" ht="15" customHeight="1">
      <c r="A391" s="670"/>
      <c r="B391" s="670"/>
      <c r="C391" s="670"/>
      <c r="D391" s="670"/>
      <c r="E391" s="670"/>
      <c r="F391" s="765"/>
      <c r="G391" s="765"/>
      <c r="H391" s="765"/>
      <c r="I391" s="765"/>
      <c r="J391" s="765"/>
      <c r="K391" s="765"/>
      <c r="L391" s="765"/>
      <c r="M391" s="670"/>
      <c r="N391" s="648"/>
      <c r="O391" s="648"/>
      <c r="P391" s="648"/>
      <c r="Q391" s="649"/>
    </row>
    <row r="392" spans="1:17" s="242" customFormat="1" ht="15" customHeight="1">
      <c r="A392" s="685">
        <v>2</v>
      </c>
      <c r="B392" s="513">
        <v>3</v>
      </c>
      <c r="C392" s="513"/>
      <c r="D392" s="513"/>
      <c r="E392" s="762" t="s">
        <v>450</v>
      </c>
      <c r="F392" s="763"/>
      <c r="G392" s="763"/>
      <c r="H392" s="763"/>
      <c r="I392" s="763"/>
      <c r="J392" s="763"/>
      <c r="K392" s="763"/>
      <c r="L392" s="763"/>
      <c r="M392" s="687"/>
      <c r="N392" s="598">
        <f>SUM(N394+N398+N406+N413+N419+N423)</f>
        <v>38968700</v>
      </c>
      <c r="O392" s="598"/>
      <c r="P392" s="598"/>
      <c r="Q392" s="637"/>
    </row>
    <row r="393" spans="1:17" s="242" customFormat="1" ht="15" customHeight="1">
      <c r="A393" s="685"/>
      <c r="B393" s="513"/>
      <c r="C393" s="513"/>
      <c r="D393" s="513"/>
      <c r="E393" s="699"/>
      <c r="F393" s="700"/>
      <c r="G393" s="700"/>
      <c r="H393" s="700"/>
      <c r="I393" s="700"/>
      <c r="J393" s="700"/>
      <c r="K393" s="700"/>
      <c r="L393" s="700"/>
      <c r="M393" s="687"/>
      <c r="N393" s="598"/>
      <c r="O393" s="598"/>
      <c r="P393" s="598"/>
      <c r="Q393" s="637"/>
    </row>
    <row r="394" spans="1:17" s="242" customFormat="1" ht="15" customHeight="1">
      <c r="A394" s="689">
        <v>2</v>
      </c>
      <c r="B394" s="691">
        <v>3</v>
      </c>
      <c r="C394" s="691">
        <v>1</v>
      </c>
      <c r="D394" s="691"/>
      <c r="E394" s="593" t="s">
        <v>156</v>
      </c>
      <c r="F394" s="594"/>
      <c r="G394" s="594"/>
      <c r="H394" s="594"/>
      <c r="I394" s="594"/>
      <c r="J394" s="594"/>
      <c r="K394" s="594"/>
      <c r="L394" s="594"/>
      <c r="M394" s="690"/>
      <c r="N394" s="598">
        <f>SUM(N395)</f>
        <v>7680000</v>
      </c>
      <c r="O394" s="598"/>
      <c r="P394" s="598"/>
      <c r="Q394" s="637" t="s">
        <v>480</v>
      </c>
    </row>
    <row r="395" spans="1:17" s="242" customFormat="1" ht="15" customHeight="1">
      <c r="A395" s="689">
        <v>2</v>
      </c>
      <c r="B395" s="691">
        <v>3</v>
      </c>
      <c r="C395" s="691">
        <v>1</v>
      </c>
      <c r="D395" s="691">
        <v>1</v>
      </c>
      <c r="E395" s="758" t="s">
        <v>29</v>
      </c>
      <c r="F395" s="759"/>
      <c r="G395" s="759"/>
      <c r="H395" s="759"/>
      <c r="I395" s="759"/>
      <c r="J395" s="759"/>
      <c r="K395" s="759"/>
      <c r="L395" s="759"/>
      <c r="M395" s="606"/>
      <c r="N395" s="598">
        <f>SUM(N396:N396)</f>
        <v>7680000</v>
      </c>
      <c r="O395" s="598"/>
      <c r="P395" s="598"/>
      <c r="Q395" s="637"/>
    </row>
    <row r="396" spans="1:17" s="242" customFormat="1" ht="15" customHeight="1">
      <c r="A396" s="689"/>
      <c r="B396" s="691"/>
      <c r="C396" s="691"/>
      <c r="D396" s="691"/>
      <c r="E396" s="600" t="s">
        <v>14</v>
      </c>
      <c r="F396" s="759" t="s">
        <v>198</v>
      </c>
      <c r="G396" s="759"/>
      <c r="H396" s="706"/>
      <c r="I396" s="427"/>
      <c r="J396" s="427"/>
      <c r="K396" s="427"/>
      <c r="L396" s="427"/>
      <c r="M396" s="690"/>
      <c r="N396" s="605">
        <f>'RAB 2.3.1OKE'!Q16</f>
        <v>7680000</v>
      </c>
      <c r="O396" s="605"/>
      <c r="P396" s="605"/>
      <c r="Q396" s="637"/>
    </row>
    <row r="397" spans="1:17" s="242" customFormat="1" ht="15" customHeight="1">
      <c r="A397" s="689"/>
      <c r="B397" s="691"/>
      <c r="C397" s="691"/>
      <c r="D397" s="691"/>
      <c r="E397" s="600"/>
      <c r="F397" s="697"/>
      <c r="G397" s="697"/>
      <c r="H397" s="706"/>
      <c r="I397" s="427"/>
      <c r="J397" s="427"/>
      <c r="K397" s="427"/>
      <c r="L397" s="427"/>
      <c r="M397" s="690"/>
      <c r="N397" s="605"/>
      <c r="O397" s="605"/>
      <c r="P397" s="605"/>
      <c r="Q397" s="637"/>
    </row>
    <row r="398" spans="1:17" s="242" customFormat="1" ht="15" customHeight="1">
      <c r="A398" s="620">
        <v>2</v>
      </c>
      <c r="B398" s="621">
        <v>3</v>
      </c>
      <c r="C398" s="621">
        <v>2</v>
      </c>
      <c r="D398" s="691"/>
      <c r="E398" s="696" t="s">
        <v>172</v>
      </c>
      <c r="F398" s="697"/>
      <c r="G398" s="697"/>
      <c r="H398" s="427"/>
      <c r="I398" s="427"/>
      <c r="J398" s="427"/>
      <c r="K398" s="427"/>
      <c r="L398" s="427"/>
      <c r="M398" s="690"/>
      <c r="N398" s="598">
        <f>N399+N401</f>
        <v>2663000</v>
      </c>
      <c r="O398" s="598"/>
      <c r="P398" s="598"/>
      <c r="Q398" s="637" t="s">
        <v>288</v>
      </c>
    </row>
    <row r="399" spans="1:17" s="242" customFormat="1" ht="15" customHeight="1">
      <c r="A399" s="620">
        <v>2</v>
      </c>
      <c r="B399" s="621">
        <v>3</v>
      </c>
      <c r="C399" s="621">
        <v>2</v>
      </c>
      <c r="D399" s="691">
        <v>1</v>
      </c>
      <c r="E399" s="758" t="s">
        <v>29</v>
      </c>
      <c r="F399" s="759"/>
      <c r="G399" s="759"/>
      <c r="H399" s="427"/>
      <c r="I399" s="427"/>
      <c r="J399" s="427"/>
      <c r="K399" s="427"/>
      <c r="L399" s="697"/>
      <c r="M399" s="606"/>
      <c r="N399" s="598">
        <f>SUM(N400:N400)</f>
        <v>263000</v>
      </c>
      <c r="O399" s="598"/>
      <c r="P399" s="598"/>
      <c r="Q399" s="637"/>
    </row>
    <row r="400" spans="1:17" s="242" customFormat="1" ht="15" customHeight="1">
      <c r="A400" s="620"/>
      <c r="B400" s="621"/>
      <c r="C400" s="621"/>
      <c r="D400" s="691"/>
      <c r="E400" s="600" t="s">
        <v>14</v>
      </c>
      <c r="F400" s="759" t="s">
        <v>77</v>
      </c>
      <c r="G400" s="759"/>
      <c r="H400" s="706"/>
      <c r="I400" s="427"/>
      <c r="J400" s="427"/>
      <c r="K400" s="427"/>
      <c r="L400" s="427"/>
      <c r="M400" s="690"/>
      <c r="N400" s="605">
        <f>'RAB 2.3.2 OKE'!Q16</f>
        <v>263000</v>
      </c>
      <c r="O400" s="605"/>
      <c r="P400" s="605"/>
      <c r="Q400" s="637"/>
    </row>
    <row r="401" spans="1:17" s="242" customFormat="1" ht="15" customHeight="1">
      <c r="A401" s="620"/>
      <c r="B401" s="621"/>
      <c r="C401" s="621"/>
      <c r="D401" s="691"/>
      <c r="E401" s="600" t="s">
        <v>14</v>
      </c>
      <c r="F401" s="697" t="s">
        <v>529</v>
      </c>
      <c r="G401" s="697"/>
      <c r="H401" s="706"/>
      <c r="I401" s="427"/>
      <c r="J401" s="427"/>
      <c r="K401" s="427"/>
      <c r="L401" s="427"/>
      <c r="M401" s="690"/>
      <c r="N401" s="598">
        <f>SUM(N402:N404)</f>
        <v>2400000</v>
      </c>
      <c r="O401" s="598"/>
      <c r="P401" s="598"/>
      <c r="Q401" s="637"/>
    </row>
    <row r="402" spans="1:17" s="242" customFormat="1" ht="15" customHeight="1">
      <c r="A402" s="620"/>
      <c r="B402" s="621"/>
      <c r="C402" s="621"/>
      <c r="D402" s="691"/>
      <c r="E402" s="600"/>
      <c r="F402" s="708" t="s">
        <v>14</v>
      </c>
      <c r="G402" s="697" t="s">
        <v>475</v>
      </c>
      <c r="H402" s="706"/>
      <c r="I402" s="427"/>
      <c r="J402" s="427"/>
      <c r="K402" s="427"/>
      <c r="L402" s="427"/>
      <c r="M402" s="690"/>
      <c r="N402" s="605">
        <f>'RAB 2.3.2 OKE'!Q23</f>
        <v>1400000</v>
      </c>
      <c r="O402" s="605"/>
      <c r="P402" s="605"/>
      <c r="Q402" s="637"/>
    </row>
    <row r="403" spans="1:17" s="242" customFormat="1" ht="15" customHeight="1">
      <c r="A403" s="620"/>
      <c r="B403" s="621"/>
      <c r="C403" s="621"/>
      <c r="D403" s="691"/>
      <c r="E403" s="600"/>
      <c r="F403" s="708" t="s">
        <v>14</v>
      </c>
      <c r="G403" s="697" t="s">
        <v>477</v>
      </c>
      <c r="H403" s="706"/>
      <c r="I403" s="427"/>
      <c r="J403" s="427"/>
      <c r="K403" s="427"/>
      <c r="L403" s="427"/>
      <c r="M403" s="690"/>
      <c r="N403" s="605">
        <f>'RAB 2.3.2 OKE'!Q27</f>
        <v>700000</v>
      </c>
      <c r="O403" s="605"/>
      <c r="P403" s="605"/>
      <c r="Q403" s="637"/>
    </row>
    <row r="404" spans="1:17" s="242" customFormat="1" ht="15" customHeight="1">
      <c r="A404" s="620"/>
      <c r="B404" s="621"/>
      <c r="C404" s="621"/>
      <c r="D404" s="691"/>
      <c r="E404" s="600"/>
      <c r="F404" s="708" t="s">
        <v>14</v>
      </c>
      <c r="G404" s="697" t="s">
        <v>530</v>
      </c>
      <c r="H404" s="706"/>
      <c r="I404" s="427"/>
      <c r="J404" s="427"/>
      <c r="K404" s="427"/>
      <c r="L404" s="427"/>
      <c r="M404" s="690"/>
      <c r="N404" s="605">
        <f>'RAB 2.3.2 OKE'!Q31</f>
        <v>300000</v>
      </c>
      <c r="O404" s="605"/>
      <c r="P404" s="605"/>
      <c r="Q404" s="637"/>
    </row>
    <row r="405" spans="1:17" s="242" customFormat="1" ht="15" customHeight="1">
      <c r="A405" s="620"/>
      <c r="B405" s="621"/>
      <c r="C405" s="621"/>
      <c r="D405" s="691"/>
      <c r="E405" s="600"/>
      <c r="F405" s="708"/>
      <c r="G405" s="697"/>
      <c r="H405" s="706"/>
      <c r="I405" s="427"/>
      <c r="J405" s="427"/>
      <c r="K405" s="427"/>
      <c r="L405" s="427"/>
      <c r="M405" s="690"/>
      <c r="N405" s="605"/>
      <c r="O405" s="605"/>
      <c r="P405" s="605"/>
      <c r="Q405" s="637"/>
    </row>
    <row r="406" spans="1:17" s="242" customFormat="1" ht="15" customHeight="1">
      <c r="A406" s="620">
        <v>2</v>
      </c>
      <c r="B406" s="621">
        <v>3</v>
      </c>
      <c r="C406" s="621">
        <v>4</v>
      </c>
      <c r="D406" s="691"/>
      <c r="E406" s="696" t="s">
        <v>200</v>
      </c>
      <c r="F406" s="697"/>
      <c r="G406" s="697"/>
      <c r="H406" s="427"/>
      <c r="I406" s="427"/>
      <c r="J406" s="427"/>
      <c r="K406" s="427"/>
      <c r="L406" s="427"/>
      <c r="M406" s="690"/>
      <c r="N406" s="598">
        <f>SUM(N407)</f>
        <v>10980000</v>
      </c>
      <c r="O406" s="598">
        <f>O407</f>
        <v>4575000</v>
      </c>
      <c r="P406" s="598"/>
      <c r="Q406" s="637" t="s">
        <v>288</v>
      </c>
    </row>
    <row r="407" spans="1:17" s="242" customFormat="1" ht="15" customHeight="1">
      <c r="A407" s="620">
        <v>2</v>
      </c>
      <c r="B407" s="621">
        <v>3</v>
      </c>
      <c r="C407" s="621">
        <v>4</v>
      </c>
      <c r="D407" s="691">
        <v>1</v>
      </c>
      <c r="E407" s="758" t="s">
        <v>29</v>
      </c>
      <c r="F407" s="759"/>
      <c r="G407" s="759"/>
      <c r="H407" s="427"/>
      <c r="I407" s="427"/>
      <c r="J407" s="427"/>
      <c r="K407" s="427"/>
      <c r="L407" s="697"/>
      <c r="M407" s="606"/>
      <c r="N407" s="598">
        <f>N408+N409</f>
        <v>10980000</v>
      </c>
      <c r="O407" s="598">
        <f>O408+O409</f>
        <v>4575000</v>
      </c>
      <c r="P407" s="598"/>
      <c r="Q407" s="637"/>
    </row>
    <row r="408" spans="1:17" s="242" customFormat="1" ht="15" customHeight="1">
      <c r="A408" s="620"/>
      <c r="B408" s="621"/>
      <c r="C408" s="621"/>
      <c r="D408" s="691"/>
      <c r="E408" s="600" t="s">
        <v>14</v>
      </c>
      <c r="F408" s="759" t="s">
        <v>201</v>
      </c>
      <c r="G408" s="759"/>
      <c r="H408" s="706"/>
      <c r="I408" s="427"/>
      <c r="J408" s="427"/>
      <c r="K408" s="427"/>
      <c r="L408" s="427"/>
      <c r="M408" s="690"/>
      <c r="N408" s="605">
        <f>'RAB 2.3.4 OKE'!Q17</f>
        <v>7920000</v>
      </c>
      <c r="O408" s="605">
        <v>3300000</v>
      </c>
      <c r="P408" s="605"/>
      <c r="Q408" s="637"/>
    </row>
    <row r="409" spans="1:17" s="242" customFormat="1" ht="15" customHeight="1">
      <c r="A409" s="620"/>
      <c r="B409" s="621"/>
      <c r="C409" s="621"/>
      <c r="D409" s="691"/>
      <c r="E409" s="600" t="s">
        <v>14</v>
      </c>
      <c r="F409" s="697" t="s">
        <v>545</v>
      </c>
      <c r="G409" s="697"/>
      <c r="H409" s="706"/>
      <c r="I409" s="427"/>
      <c r="J409" s="427"/>
      <c r="K409" s="427"/>
      <c r="L409" s="427"/>
      <c r="M409" s="690"/>
      <c r="N409" s="605">
        <f>SUM(N410:N411)</f>
        <v>3060000</v>
      </c>
      <c r="O409" s="605">
        <f>SUM(O410:O411)</f>
        <v>1275000</v>
      </c>
      <c r="P409" s="605"/>
      <c r="Q409" s="637"/>
    </row>
    <row r="410" spans="1:17" s="242" customFormat="1" ht="15" customHeight="1">
      <c r="A410" s="620"/>
      <c r="B410" s="621"/>
      <c r="C410" s="621"/>
      <c r="D410" s="691"/>
      <c r="E410" s="600"/>
      <c r="F410" s="708" t="s">
        <v>14</v>
      </c>
      <c r="G410" s="697" t="s">
        <v>548</v>
      </c>
      <c r="H410" s="706"/>
      <c r="I410" s="427"/>
      <c r="J410" s="427"/>
      <c r="K410" s="427"/>
      <c r="L410" s="427"/>
      <c r="M410" s="690"/>
      <c r="N410" s="605">
        <f>'RAB 2.3.4 OKE'!Q20</f>
        <v>660000</v>
      </c>
      <c r="O410" s="605">
        <v>275000</v>
      </c>
      <c r="P410" s="605"/>
      <c r="Q410" s="637"/>
    </row>
    <row r="411" spans="1:17" s="242" customFormat="1" ht="15" customHeight="1">
      <c r="A411" s="620"/>
      <c r="B411" s="621"/>
      <c r="C411" s="621"/>
      <c r="D411" s="691"/>
      <c r="E411" s="600"/>
      <c r="F411" s="708" t="s">
        <v>14</v>
      </c>
      <c r="G411" s="697" t="s">
        <v>549</v>
      </c>
      <c r="H411" s="706"/>
      <c r="I411" s="427"/>
      <c r="J411" s="427"/>
      <c r="K411" s="427"/>
      <c r="L411" s="427"/>
      <c r="M411" s="690"/>
      <c r="N411" s="605">
        <f>'RAB 2.3.4 OKE'!Q21</f>
        <v>2400000</v>
      </c>
      <c r="O411" s="605">
        <v>1000000</v>
      </c>
      <c r="P411" s="605"/>
      <c r="Q411" s="637"/>
    </row>
    <row r="412" spans="1:17" s="242" customFormat="1" ht="15" customHeight="1">
      <c r="A412" s="689"/>
      <c r="B412" s="691"/>
      <c r="C412" s="691"/>
      <c r="D412" s="691"/>
      <c r="E412" s="689"/>
      <c r="F412" s="622"/>
      <c r="G412" s="706"/>
      <c r="H412" s="706"/>
      <c r="I412" s="427"/>
      <c r="J412" s="427"/>
      <c r="K412" s="427"/>
      <c r="L412" s="427"/>
      <c r="M412" s="690"/>
      <c r="N412" s="591"/>
      <c r="O412" s="591"/>
      <c r="P412" s="591"/>
      <c r="Q412" s="637"/>
    </row>
    <row r="413" spans="1:17" s="242" customFormat="1" ht="15" customHeight="1">
      <c r="A413" s="620">
        <v>2</v>
      </c>
      <c r="B413" s="621">
        <v>3</v>
      </c>
      <c r="C413" s="621">
        <v>6</v>
      </c>
      <c r="D413" s="691"/>
      <c r="E413" s="696" t="s">
        <v>209</v>
      </c>
      <c r="F413" s="697"/>
      <c r="G413" s="697"/>
      <c r="H413" s="427"/>
      <c r="I413" s="427"/>
      <c r="J413" s="427"/>
      <c r="K413" s="427"/>
      <c r="L413" s="427"/>
      <c r="M413" s="690"/>
      <c r="N413" s="598">
        <f>N414</f>
        <v>2945700</v>
      </c>
      <c r="O413" s="598"/>
      <c r="P413" s="598"/>
      <c r="Q413" s="637" t="s">
        <v>288</v>
      </c>
    </row>
    <row r="414" spans="1:17" s="242" customFormat="1" ht="15" customHeight="1">
      <c r="A414" s="620">
        <v>2</v>
      </c>
      <c r="B414" s="621">
        <v>3</v>
      </c>
      <c r="C414" s="621">
        <v>6</v>
      </c>
      <c r="D414" s="691">
        <v>1</v>
      </c>
      <c r="E414" s="758" t="s">
        <v>29</v>
      </c>
      <c r="F414" s="759"/>
      <c r="G414" s="759"/>
      <c r="H414" s="427"/>
      <c r="I414" s="427"/>
      <c r="J414" s="427"/>
      <c r="K414" s="427"/>
      <c r="L414" s="697"/>
      <c r="M414" s="606"/>
      <c r="N414" s="598">
        <f>SUM(N415:N417)</f>
        <v>2945700</v>
      </c>
      <c r="O414" s="598"/>
      <c r="P414" s="598"/>
      <c r="Q414" s="637"/>
    </row>
    <row r="415" spans="1:17" s="242" customFormat="1" ht="15" customHeight="1">
      <c r="A415" s="620"/>
      <c r="B415" s="621"/>
      <c r="C415" s="621"/>
      <c r="D415" s="691"/>
      <c r="E415" s="600" t="s">
        <v>14</v>
      </c>
      <c r="F415" s="759" t="str">
        <f>'RAB 2.3.6'!G17</f>
        <v>Raket</v>
      </c>
      <c r="G415" s="759"/>
      <c r="H415" s="706"/>
      <c r="I415" s="427"/>
      <c r="J415" s="427"/>
      <c r="K415" s="427"/>
      <c r="L415" s="427"/>
      <c r="M415" s="690"/>
      <c r="N415" s="605">
        <f>'RAB 2.3.6'!Q17</f>
        <v>2600000</v>
      </c>
      <c r="O415" s="605"/>
      <c r="P415" s="605"/>
      <c r="Q415" s="637"/>
    </row>
    <row r="416" spans="1:17" s="242" customFormat="1" ht="15" customHeight="1">
      <c r="A416" s="620"/>
      <c r="B416" s="621"/>
      <c r="C416" s="621"/>
      <c r="D416" s="691"/>
      <c r="E416" s="600" t="s">
        <v>14</v>
      </c>
      <c r="F416" s="759" t="s">
        <v>270</v>
      </c>
      <c r="G416" s="759"/>
      <c r="H416" s="706"/>
      <c r="I416" s="427"/>
      <c r="J416" s="427"/>
      <c r="K416" s="427"/>
      <c r="L416" s="427"/>
      <c r="M416" s="690"/>
      <c r="N416" s="605">
        <f>'RAB 2.3.6'!Q18</f>
        <v>200000</v>
      </c>
      <c r="O416" s="605"/>
      <c r="P416" s="605"/>
      <c r="Q416" s="637"/>
    </row>
    <row r="417" spans="1:17" s="242" customFormat="1" ht="15" customHeight="1">
      <c r="A417" s="689"/>
      <c r="B417" s="691"/>
      <c r="C417" s="691"/>
      <c r="D417" s="691"/>
      <c r="E417" s="600" t="s">
        <v>14</v>
      </c>
      <c r="F417" s="697" t="str">
        <f>'RAB 2.3.6'!G19</f>
        <v>Net</v>
      </c>
      <c r="G417" s="611"/>
      <c r="H417" s="706"/>
      <c r="I417" s="427"/>
      <c r="J417" s="427"/>
      <c r="K417" s="427"/>
      <c r="L417" s="427"/>
      <c r="M417" s="690"/>
      <c r="N417" s="591">
        <f>'RAB 2.3.6'!Q19</f>
        <v>145700</v>
      </c>
      <c r="O417" s="591"/>
      <c r="P417" s="591"/>
      <c r="Q417" s="637"/>
    </row>
    <row r="418" spans="1:17" s="242" customFormat="1" ht="15" customHeight="1">
      <c r="A418" s="689"/>
      <c r="B418" s="691"/>
      <c r="C418" s="691"/>
      <c r="D418" s="691"/>
      <c r="E418" s="600"/>
      <c r="F418" s="697"/>
      <c r="G418" s="611"/>
      <c r="H418" s="706"/>
      <c r="I418" s="427"/>
      <c r="J418" s="427"/>
      <c r="K418" s="427"/>
      <c r="L418" s="427"/>
      <c r="M418" s="690"/>
      <c r="N418" s="591"/>
      <c r="O418" s="591"/>
      <c r="P418" s="591"/>
      <c r="Q418" s="637"/>
    </row>
    <row r="419" spans="1:17" s="242" customFormat="1" ht="15" customHeight="1">
      <c r="A419" s="689">
        <v>2</v>
      </c>
      <c r="B419" s="691">
        <v>3</v>
      </c>
      <c r="C419" s="691">
        <v>8</v>
      </c>
      <c r="D419" s="691"/>
      <c r="E419" s="593" t="s">
        <v>319</v>
      </c>
      <c r="F419" s="594"/>
      <c r="G419" s="594"/>
      <c r="H419" s="594"/>
      <c r="I419" s="594"/>
      <c r="J419" s="594"/>
      <c r="K419" s="594"/>
      <c r="L419" s="594"/>
      <c r="M419" s="690"/>
      <c r="N419" s="598">
        <f>SUM(N420)</f>
        <v>6900000</v>
      </c>
      <c r="O419" s="598"/>
      <c r="P419" s="598"/>
      <c r="Q419" s="637" t="s">
        <v>484</v>
      </c>
    </row>
    <row r="420" spans="1:17" s="242" customFormat="1" ht="15" customHeight="1">
      <c r="A420" s="689">
        <v>2</v>
      </c>
      <c r="B420" s="691">
        <v>3</v>
      </c>
      <c r="C420" s="691">
        <v>8</v>
      </c>
      <c r="D420" s="691">
        <v>1</v>
      </c>
      <c r="E420" s="758" t="s">
        <v>29</v>
      </c>
      <c r="F420" s="759"/>
      <c r="G420" s="759"/>
      <c r="H420" s="759"/>
      <c r="I420" s="759"/>
      <c r="J420" s="759"/>
      <c r="K420" s="759"/>
      <c r="L420" s="759"/>
      <c r="M420" s="606"/>
      <c r="N420" s="598">
        <f>SUM(N421:N421)</f>
        <v>6900000</v>
      </c>
      <c r="O420" s="598"/>
      <c r="P420" s="598"/>
      <c r="Q420" s="637"/>
    </row>
    <row r="421" spans="1:17" s="242" customFormat="1" ht="15" customHeight="1">
      <c r="A421" s="689"/>
      <c r="B421" s="691"/>
      <c r="C421" s="691"/>
      <c r="D421" s="691"/>
      <c r="E421" s="600" t="s">
        <v>14</v>
      </c>
      <c r="F421" s="759" t="s">
        <v>318</v>
      </c>
      <c r="G421" s="759"/>
      <c r="H421" s="706"/>
      <c r="I421" s="427"/>
      <c r="J421" s="427"/>
      <c r="K421" s="427"/>
      <c r="L421" s="427"/>
      <c r="M421" s="690"/>
      <c r="N421" s="605">
        <f>'RAB 2.3.8 OKE '!Q24</f>
        <v>6900000</v>
      </c>
      <c r="O421" s="605"/>
      <c r="P421" s="605"/>
      <c r="Q421" s="637"/>
    </row>
    <row r="422" spans="1:17" s="242" customFormat="1" ht="15" customHeight="1">
      <c r="A422" s="620"/>
      <c r="B422" s="621"/>
      <c r="C422" s="621"/>
      <c r="D422" s="691"/>
      <c r="E422" s="600"/>
      <c r="F422" s="697"/>
      <c r="G422" s="697"/>
      <c r="H422" s="706"/>
      <c r="I422" s="427"/>
      <c r="J422" s="427"/>
      <c r="K422" s="427"/>
      <c r="L422" s="427"/>
      <c r="M422" s="690"/>
      <c r="N422" s="605"/>
      <c r="O422" s="605"/>
      <c r="P422" s="605"/>
      <c r="Q422" s="637"/>
    </row>
    <row r="423" spans="1:17" s="242" customFormat="1" ht="15" customHeight="1">
      <c r="A423" s="689">
        <v>2</v>
      </c>
      <c r="B423" s="691">
        <v>3</v>
      </c>
      <c r="C423" s="691">
        <v>9</v>
      </c>
      <c r="D423" s="691"/>
      <c r="E423" s="593" t="s">
        <v>173</v>
      </c>
      <c r="F423" s="594"/>
      <c r="G423" s="594"/>
      <c r="H423" s="427"/>
      <c r="I423" s="427"/>
      <c r="J423" s="427"/>
      <c r="K423" s="427"/>
      <c r="L423" s="427"/>
      <c r="M423" s="690"/>
      <c r="N423" s="598">
        <f>SUM(N424)</f>
        <v>7800000</v>
      </c>
      <c r="O423" s="598">
        <f>O424</f>
        <v>3250000</v>
      </c>
      <c r="P423" s="598"/>
      <c r="Q423" s="637" t="s">
        <v>288</v>
      </c>
    </row>
    <row r="424" spans="1:17" s="242" customFormat="1" ht="15" customHeight="1">
      <c r="A424" s="689">
        <v>2</v>
      </c>
      <c r="B424" s="691">
        <v>3</v>
      </c>
      <c r="C424" s="691">
        <v>9</v>
      </c>
      <c r="D424" s="691">
        <v>2</v>
      </c>
      <c r="E424" s="758" t="s">
        <v>29</v>
      </c>
      <c r="F424" s="759"/>
      <c r="G424" s="759"/>
      <c r="H424" s="427"/>
      <c r="I424" s="427"/>
      <c r="J424" s="427"/>
      <c r="K424" s="427"/>
      <c r="L424" s="697"/>
      <c r="M424" s="606"/>
      <c r="N424" s="598">
        <f>SUM(N425:N425)</f>
        <v>7800000</v>
      </c>
      <c r="O424" s="598">
        <f>O425</f>
        <v>3250000</v>
      </c>
      <c r="P424" s="598"/>
      <c r="Q424" s="637"/>
    </row>
    <row r="425" spans="1:17" s="242" customFormat="1" ht="15" customHeight="1">
      <c r="A425" s="689"/>
      <c r="B425" s="691"/>
      <c r="C425" s="691"/>
      <c r="D425" s="691"/>
      <c r="E425" s="600" t="s">
        <v>14</v>
      </c>
      <c r="F425" s="759" t="s">
        <v>79</v>
      </c>
      <c r="G425" s="759"/>
      <c r="H425" s="706"/>
      <c r="I425" s="427"/>
      <c r="J425" s="427"/>
      <c r="K425" s="427"/>
      <c r="L425" s="427"/>
      <c r="M425" s="690"/>
      <c r="N425" s="605">
        <f>'RAB 2.3.9 OKE'!Q18</f>
        <v>7800000</v>
      </c>
      <c r="O425" s="605">
        <v>3250000</v>
      </c>
      <c r="P425" s="605"/>
      <c r="Q425" s="637"/>
    </row>
    <row r="426" spans="1:17" s="242" customFormat="1" ht="15" customHeight="1">
      <c r="A426" s="689"/>
      <c r="B426" s="691"/>
      <c r="C426" s="691"/>
      <c r="D426" s="691"/>
      <c r="E426" s="600"/>
      <c r="F426" s="697"/>
      <c r="G426" s="697"/>
      <c r="H426" s="706"/>
      <c r="I426" s="427"/>
      <c r="J426" s="427"/>
      <c r="K426" s="427"/>
      <c r="L426" s="427"/>
      <c r="M426" s="690"/>
      <c r="N426" s="605"/>
      <c r="O426" s="605"/>
      <c r="P426" s="605"/>
      <c r="Q426" s="637"/>
    </row>
    <row r="427" spans="1:17" s="242" customFormat="1" ht="15" customHeight="1">
      <c r="A427" s="685">
        <v>2</v>
      </c>
      <c r="B427" s="513">
        <v>4</v>
      </c>
      <c r="C427" s="513"/>
      <c r="D427" s="513"/>
      <c r="E427" s="762" t="s">
        <v>451</v>
      </c>
      <c r="F427" s="763"/>
      <c r="G427" s="763"/>
      <c r="H427" s="686"/>
      <c r="I427" s="686"/>
      <c r="J427" s="686"/>
      <c r="K427" s="686"/>
      <c r="L427" s="686"/>
      <c r="M427" s="687"/>
      <c r="N427" s="598">
        <f>SUM(N429)+N433</f>
        <v>74098000</v>
      </c>
      <c r="O427" s="598"/>
      <c r="P427" s="598"/>
      <c r="Q427" s="637"/>
    </row>
    <row r="428" spans="1:17" s="242" customFormat="1" ht="15" customHeight="1">
      <c r="A428" s="685"/>
      <c r="B428" s="513"/>
      <c r="C428" s="513"/>
      <c r="D428" s="513"/>
      <c r="E428" s="699"/>
      <c r="F428" s="700"/>
      <c r="G428" s="700"/>
      <c r="H428" s="686"/>
      <c r="I428" s="686"/>
      <c r="J428" s="686"/>
      <c r="K428" s="686"/>
      <c r="L428" s="686"/>
      <c r="M428" s="687"/>
      <c r="N428" s="598"/>
      <c r="O428" s="598"/>
      <c r="P428" s="598"/>
      <c r="Q428" s="637"/>
    </row>
    <row r="429" spans="1:17" s="242" customFormat="1" ht="15" customHeight="1">
      <c r="A429" s="689">
        <v>2</v>
      </c>
      <c r="B429" s="691">
        <v>4</v>
      </c>
      <c r="C429" s="691">
        <v>7</v>
      </c>
      <c r="D429" s="691"/>
      <c r="E429" s="593" t="s">
        <v>439</v>
      </c>
      <c r="F429" s="594"/>
      <c r="G429" s="594"/>
      <c r="H429" s="427"/>
      <c r="I429" s="427"/>
      <c r="J429" s="427"/>
      <c r="K429" s="427"/>
      <c r="L429" s="427"/>
      <c r="M429" s="690"/>
      <c r="N429" s="598">
        <f>N430</f>
        <v>6000000</v>
      </c>
      <c r="O429" s="598"/>
      <c r="P429" s="598"/>
      <c r="Q429" s="637" t="s">
        <v>286</v>
      </c>
    </row>
    <row r="430" spans="1:17" s="242" customFormat="1" ht="15" customHeight="1">
      <c r="A430" s="689">
        <v>2</v>
      </c>
      <c r="B430" s="691">
        <v>4</v>
      </c>
      <c r="C430" s="691">
        <v>7</v>
      </c>
      <c r="D430" s="691">
        <v>2</v>
      </c>
      <c r="E430" s="758" t="s">
        <v>29</v>
      </c>
      <c r="F430" s="759"/>
      <c r="G430" s="759"/>
      <c r="H430" s="427"/>
      <c r="I430" s="427"/>
      <c r="J430" s="427"/>
      <c r="K430" s="427"/>
      <c r="L430" s="697"/>
      <c r="M430" s="606"/>
      <c r="N430" s="598">
        <f>N431</f>
        <v>6000000</v>
      </c>
      <c r="O430" s="598"/>
      <c r="P430" s="598"/>
      <c r="Q430" s="637"/>
    </row>
    <row r="431" spans="1:17" s="242" customFormat="1" ht="15" customHeight="1">
      <c r="A431" s="689"/>
      <c r="B431" s="691"/>
      <c r="C431" s="691"/>
      <c r="D431" s="691"/>
      <c r="E431" s="600" t="s">
        <v>14</v>
      </c>
      <c r="F431" s="759" t="s">
        <v>447</v>
      </c>
      <c r="G431" s="759"/>
      <c r="H431" s="706"/>
      <c r="I431" s="427"/>
      <c r="J431" s="427"/>
      <c r="K431" s="427"/>
      <c r="L431" s="427"/>
      <c r="M431" s="690"/>
      <c r="N431" s="605">
        <f>'RAB 2.4.7 OKE'!Q17</f>
        <v>6000000</v>
      </c>
      <c r="O431" s="605"/>
      <c r="P431" s="605"/>
      <c r="Q431" s="637"/>
    </row>
    <row r="432" spans="1:17" s="242" customFormat="1" ht="15" customHeight="1">
      <c r="A432" s="689"/>
      <c r="B432" s="691"/>
      <c r="C432" s="691"/>
      <c r="D432" s="691"/>
      <c r="E432" s="600"/>
      <c r="F432" s="697"/>
      <c r="G432" s="697"/>
      <c r="H432" s="706"/>
      <c r="I432" s="427"/>
      <c r="J432" s="427"/>
      <c r="K432" s="427"/>
      <c r="L432" s="427"/>
      <c r="M432" s="690"/>
      <c r="N432" s="605"/>
      <c r="O432" s="605"/>
      <c r="P432" s="605"/>
      <c r="Q432" s="637"/>
    </row>
    <row r="433" spans="1:17" s="242" customFormat="1" ht="15" customHeight="1">
      <c r="A433" s="689">
        <v>2</v>
      </c>
      <c r="B433" s="691">
        <v>4</v>
      </c>
      <c r="C433" s="691">
        <v>13</v>
      </c>
      <c r="D433" s="691"/>
      <c r="E433" s="593" t="s">
        <v>540</v>
      </c>
      <c r="F433" s="594"/>
      <c r="G433" s="594"/>
      <c r="H433" s="427"/>
      <c r="I433" s="427"/>
      <c r="J433" s="427"/>
      <c r="K433" s="427"/>
      <c r="L433" s="427"/>
      <c r="M433" s="690"/>
      <c r="N433" s="598">
        <f>N434+N457</f>
        <v>68098000</v>
      </c>
      <c r="O433" s="598"/>
      <c r="P433" s="598"/>
      <c r="Q433" s="637"/>
    </row>
    <row r="434" spans="1:17" s="242" customFormat="1" ht="15" customHeight="1">
      <c r="A434" s="689">
        <v>2</v>
      </c>
      <c r="B434" s="691">
        <v>4</v>
      </c>
      <c r="C434" s="691">
        <v>13</v>
      </c>
      <c r="D434" s="691">
        <v>2</v>
      </c>
      <c r="E434" s="758" t="s">
        <v>29</v>
      </c>
      <c r="F434" s="759"/>
      <c r="G434" s="759"/>
      <c r="H434" s="427"/>
      <c r="I434" s="427"/>
      <c r="J434" s="427"/>
      <c r="K434" s="427"/>
      <c r="L434" s="697"/>
      <c r="M434" s="606"/>
      <c r="N434" s="605">
        <f>N435+N439+N440+N441+N442</f>
        <v>18643000</v>
      </c>
      <c r="O434" s="605"/>
      <c r="P434" s="605"/>
      <c r="Q434" s="637"/>
    </row>
    <row r="435" spans="1:17" s="242" customFormat="1" ht="15" customHeight="1">
      <c r="A435" s="689"/>
      <c r="B435" s="691"/>
      <c r="C435" s="691"/>
      <c r="D435" s="691"/>
      <c r="E435" s="600"/>
      <c r="F435" s="708" t="s">
        <v>14</v>
      </c>
      <c r="G435" s="697" t="s">
        <v>541</v>
      </c>
      <c r="H435" s="706"/>
      <c r="I435" s="427"/>
      <c r="J435" s="427"/>
      <c r="K435" s="427"/>
      <c r="L435" s="427"/>
      <c r="M435" s="690"/>
      <c r="N435" s="605">
        <f>SUM(N436:N438)</f>
        <v>17845000</v>
      </c>
      <c r="O435" s="605"/>
      <c r="P435" s="605"/>
      <c r="Q435" s="637"/>
    </row>
    <row r="436" spans="1:17" s="242" customFormat="1" ht="15" customHeight="1">
      <c r="A436" s="689"/>
      <c r="B436" s="691"/>
      <c r="C436" s="691"/>
      <c r="D436" s="691"/>
      <c r="E436" s="600"/>
      <c r="F436" s="697"/>
      <c r="G436" s="697" t="s">
        <v>203</v>
      </c>
      <c r="H436" s="706"/>
      <c r="I436" s="427"/>
      <c r="J436" s="427"/>
      <c r="K436" s="427"/>
      <c r="L436" s="427"/>
      <c r="M436" s="690"/>
      <c r="N436" s="605">
        <f>'RAB 2.4.13 OKE'!Q18</f>
        <v>11407500</v>
      </c>
      <c r="O436" s="605"/>
      <c r="P436" s="605"/>
      <c r="Q436" s="637"/>
    </row>
    <row r="437" spans="1:17" s="242" customFormat="1" ht="15" customHeight="1">
      <c r="A437" s="689"/>
      <c r="B437" s="691"/>
      <c r="C437" s="691"/>
      <c r="D437" s="691"/>
      <c r="E437" s="600"/>
      <c r="F437" s="697"/>
      <c r="G437" s="697" t="s">
        <v>58</v>
      </c>
      <c r="H437" s="706"/>
      <c r="I437" s="427"/>
      <c r="J437" s="427"/>
      <c r="K437" s="427"/>
      <c r="L437" s="427"/>
      <c r="M437" s="690"/>
      <c r="N437" s="605">
        <f>'RAB 2.4.13 OKE'!Q19</f>
        <v>5737500</v>
      </c>
      <c r="O437" s="605"/>
      <c r="P437" s="605"/>
      <c r="Q437" s="637"/>
    </row>
    <row r="438" spans="1:17" s="242" customFormat="1" ht="15" customHeight="1">
      <c r="A438" s="689"/>
      <c r="B438" s="691"/>
      <c r="C438" s="691"/>
      <c r="D438" s="691"/>
      <c r="E438" s="600"/>
      <c r="F438" s="697"/>
      <c r="G438" s="697" t="s">
        <v>522</v>
      </c>
      <c r="H438" s="706"/>
      <c r="I438" s="427"/>
      <c r="J438" s="427"/>
      <c r="K438" s="427"/>
      <c r="L438" s="427"/>
      <c r="M438" s="690"/>
      <c r="N438" s="605">
        <f>'RAB 2.4.13 OKE'!Q20</f>
        <v>700000</v>
      </c>
      <c r="O438" s="605"/>
      <c r="P438" s="605"/>
      <c r="Q438" s="637"/>
    </row>
    <row r="439" spans="1:17" s="242" customFormat="1" ht="15" customHeight="1">
      <c r="A439" s="689"/>
      <c r="B439" s="691"/>
      <c r="C439" s="691"/>
      <c r="D439" s="691"/>
      <c r="E439" s="600"/>
      <c r="F439" s="708" t="s">
        <v>14</v>
      </c>
      <c r="G439" s="697" t="s">
        <v>77</v>
      </c>
      <c r="H439" s="706"/>
      <c r="I439" s="427"/>
      <c r="J439" s="427"/>
      <c r="K439" s="427"/>
      <c r="L439" s="427"/>
      <c r="M439" s="690"/>
      <c r="N439" s="605">
        <f>'RAB 2.4.13 OKE'!Q22</f>
        <v>328000</v>
      </c>
      <c r="O439" s="605"/>
      <c r="P439" s="605"/>
      <c r="Q439" s="637"/>
    </row>
    <row r="440" spans="1:17" s="242" customFormat="1" ht="15" customHeight="1">
      <c r="A440" s="689"/>
      <c r="B440" s="691"/>
      <c r="C440" s="691"/>
      <c r="D440" s="691"/>
      <c r="E440" s="600"/>
      <c r="F440" s="708" t="s">
        <v>14</v>
      </c>
      <c r="G440" s="697" t="s">
        <v>195</v>
      </c>
      <c r="H440" s="706"/>
      <c r="I440" s="427"/>
      <c r="J440" s="427"/>
      <c r="K440" s="427"/>
      <c r="L440" s="427"/>
      <c r="M440" s="690"/>
      <c r="N440" s="605">
        <f>'RAB 2.4.13 OKE'!Q32</f>
        <v>115000</v>
      </c>
      <c r="O440" s="605"/>
      <c r="P440" s="605"/>
      <c r="Q440" s="637"/>
    </row>
    <row r="441" spans="1:17" s="242" customFormat="1" ht="15" customHeight="1">
      <c r="A441" s="689"/>
      <c r="B441" s="691"/>
      <c r="C441" s="691"/>
      <c r="D441" s="691"/>
      <c r="E441" s="600"/>
      <c r="F441" s="708" t="s">
        <v>14</v>
      </c>
      <c r="G441" s="697" t="s">
        <v>542</v>
      </c>
      <c r="H441" s="706"/>
      <c r="I441" s="427"/>
      <c r="J441" s="427"/>
      <c r="K441" s="427"/>
      <c r="L441" s="427"/>
      <c r="M441" s="690"/>
      <c r="N441" s="605">
        <f>'RAB 2.4.13 OKE'!Q36</f>
        <v>45000</v>
      </c>
      <c r="O441" s="605"/>
      <c r="P441" s="605"/>
      <c r="Q441" s="637"/>
    </row>
    <row r="442" spans="1:17" s="242" customFormat="1" ht="15" customHeight="1">
      <c r="A442" s="689"/>
      <c r="B442" s="691"/>
      <c r="C442" s="691"/>
      <c r="D442" s="691"/>
      <c r="E442" s="600"/>
      <c r="F442" s="708" t="s">
        <v>14</v>
      </c>
      <c r="G442" s="697" t="s">
        <v>519</v>
      </c>
      <c r="H442" s="706"/>
      <c r="I442" s="427"/>
      <c r="J442" s="427"/>
      <c r="K442" s="427"/>
      <c r="L442" s="427"/>
      <c r="M442" s="690"/>
      <c r="N442" s="605">
        <f>SUM(N443:N445)</f>
        <v>310000</v>
      </c>
      <c r="O442" s="605"/>
      <c r="P442" s="605"/>
      <c r="Q442" s="637"/>
    </row>
    <row r="443" spans="1:17" s="242" customFormat="1" ht="15" customHeight="1">
      <c r="A443" s="689"/>
      <c r="B443" s="691"/>
      <c r="C443" s="691"/>
      <c r="D443" s="691"/>
      <c r="E443" s="600"/>
      <c r="F443" s="708"/>
      <c r="G443" s="697" t="str">
        <f>'RAB 2.4.13 OKE'!G41</f>
        <v>Biaya Transport Monitoring</v>
      </c>
      <c r="H443" s="706"/>
      <c r="I443" s="427"/>
      <c r="J443" s="427"/>
      <c r="K443" s="427"/>
      <c r="L443" s="427"/>
      <c r="M443" s="690"/>
      <c r="N443" s="605">
        <f>'RAB 2.4.13 OKE'!Q41</f>
        <v>60000</v>
      </c>
      <c r="O443" s="605"/>
      <c r="P443" s="605"/>
      <c r="Q443" s="637"/>
    </row>
    <row r="444" spans="1:17" s="242" customFormat="1" ht="15" customHeight="1">
      <c r="A444" s="689"/>
      <c r="B444" s="691"/>
      <c r="C444" s="691"/>
      <c r="D444" s="691"/>
      <c r="E444" s="600"/>
      <c r="F444" s="697"/>
      <c r="G444" s="697" t="str">
        <f>'RAB 2.4.13 OKE'!G42</f>
        <v>Biaya Transport Penyuluh</v>
      </c>
      <c r="H444" s="706"/>
      <c r="I444" s="427"/>
      <c r="J444" s="427"/>
      <c r="K444" s="427"/>
      <c r="L444" s="427"/>
      <c r="M444" s="690"/>
      <c r="N444" s="605">
        <f>'RAB 2.4.13 OKE'!Q42</f>
        <v>150000</v>
      </c>
      <c r="O444" s="605"/>
      <c r="P444" s="605"/>
      <c r="Q444" s="637"/>
    </row>
    <row r="445" spans="1:17" s="242" customFormat="1" ht="15" customHeight="1">
      <c r="A445" s="689"/>
      <c r="B445" s="691"/>
      <c r="C445" s="691"/>
      <c r="D445" s="691"/>
      <c r="E445" s="600"/>
      <c r="F445" s="697"/>
      <c r="G445" s="697" t="str">
        <f>'RAB 2.4.13 OKE'!G43</f>
        <v>Biaya Transport Pembelian Barang/Material</v>
      </c>
      <c r="H445" s="706"/>
      <c r="I445" s="427"/>
      <c r="J445" s="427"/>
      <c r="K445" s="427"/>
      <c r="L445" s="427"/>
      <c r="M445" s="690"/>
      <c r="N445" s="605">
        <f>'RAB 2.4.13 OKE'!Q43</f>
        <v>100000</v>
      </c>
      <c r="O445" s="605"/>
      <c r="P445" s="605"/>
      <c r="Q445" s="637"/>
    </row>
    <row r="446" spans="1:17" s="242" customFormat="1" ht="15" customHeight="1">
      <c r="A446" s="451"/>
      <c r="B446" s="451"/>
      <c r="C446" s="451"/>
      <c r="D446" s="451"/>
      <c r="E446" s="641"/>
      <c r="F446" s="616"/>
      <c r="G446" s="616"/>
      <c r="H446" s="354"/>
      <c r="I446" s="451"/>
      <c r="J446" s="451"/>
      <c r="K446" s="451"/>
      <c r="L446" s="451"/>
      <c r="M446" s="451"/>
      <c r="N446" s="642"/>
      <c r="O446" s="642"/>
      <c r="P446" s="642"/>
      <c r="Q446" s="643"/>
    </row>
    <row r="447" spans="1:17" s="242" customFormat="1" ht="15" customHeight="1">
      <c r="A447" s="286"/>
      <c r="B447" s="286"/>
      <c r="C447" s="286"/>
      <c r="D447" s="286"/>
      <c r="E447" s="644"/>
      <c r="F447" s="682"/>
      <c r="G447" s="682"/>
      <c r="H447" s="284"/>
      <c r="I447" s="286"/>
      <c r="J447" s="286"/>
      <c r="K447" s="286"/>
      <c r="L447" s="286"/>
      <c r="M447" s="286"/>
      <c r="N447" s="645"/>
      <c r="O447" s="645"/>
      <c r="P447" s="645"/>
      <c r="Q447" s="646"/>
    </row>
    <row r="448" spans="1:17" s="242" customFormat="1" ht="15" customHeight="1">
      <c r="A448" s="286"/>
      <c r="B448" s="286"/>
      <c r="C448" s="286"/>
      <c r="D448" s="286"/>
      <c r="E448" s="644"/>
      <c r="F448" s="682"/>
      <c r="G448" s="682"/>
      <c r="H448" s="284"/>
      <c r="I448" s="286"/>
      <c r="J448" s="286"/>
      <c r="K448" s="286"/>
      <c r="L448" s="286"/>
      <c r="M448" s="286"/>
      <c r="N448" s="645"/>
      <c r="O448" s="645"/>
      <c r="P448" s="645"/>
      <c r="Q448" s="646"/>
    </row>
    <row r="449" spans="1:19" s="242" customFormat="1" ht="15" customHeight="1">
      <c r="A449" s="286"/>
      <c r="B449" s="286"/>
      <c r="C449" s="286"/>
      <c r="D449" s="286"/>
      <c r="E449" s="644"/>
      <c r="F449" s="682"/>
      <c r="G449" s="682"/>
      <c r="H449" s="284"/>
      <c r="I449" s="286"/>
      <c r="J449" s="286"/>
      <c r="K449" s="286"/>
      <c r="L449" s="286"/>
      <c r="M449" s="286"/>
      <c r="N449" s="645"/>
      <c r="O449" s="645"/>
      <c r="P449" s="645"/>
      <c r="Q449" s="646"/>
    </row>
    <row r="450" spans="1:19" s="242" customFormat="1" ht="15" customHeight="1">
      <c r="A450" s="286"/>
      <c r="B450" s="286"/>
      <c r="C450" s="286"/>
      <c r="D450" s="286"/>
      <c r="E450" s="644"/>
      <c r="F450" s="682"/>
      <c r="G450" s="682"/>
      <c r="H450" s="284"/>
      <c r="I450" s="286"/>
      <c r="J450" s="286"/>
      <c r="K450" s="286"/>
      <c r="L450" s="286"/>
      <c r="M450" s="286"/>
      <c r="N450" s="645"/>
      <c r="O450" s="645"/>
      <c r="P450" s="645"/>
      <c r="Q450" s="646"/>
    </row>
    <row r="451" spans="1:19" s="242" customFormat="1" ht="15" customHeight="1">
      <c r="A451" s="286"/>
      <c r="B451" s="286"/>
      <c r="C451" s="286"/>
      <c r="D451" s="286"/>
      <c r="E451" s="644"/>
      <c r="F451" s="682"/>
      <c r="G451" s="682"/>
      <c r="H451" s="284"/>
      <c r="I451" s="286"/>
      <c r="J451" s="286"/>
      <c r="K451" s="286"/>
      <c r="L451" s="286"/>
      <c r="M451" s="286"/>
      <c r="N451" s="645"/>
      <c r="O451" s="645"/>
      <c r="P451" s="645"/>
      <c r="Q451" s="646"/>
    </row>
    <row r="452" spans="1:19" s="242" customFormat="1" ht="15" customHeight="1">
      <c r="A452" s="286"/>
      <c r="B452" s="286"/>
      <c r="C452" s="286"/>
      <c r="D452" s="286"/>
      <c r="E452" s="644"/>
      <c r="F452" s="682"/>
      <c r="G452" s="682"/>
      <c r="H452" s="284"/>
      <c r="I452" s="286"/>
      <c r="J452" s="286"/>
      <c r="K452" s="286"/>
      <c r="L452" s="286"/>
      <c r="M452" s="286"/>
      <c r="N452" s="645"/>
      <c r="O452" s="645"/>
      <c r="P452" s="645"/>
      <c r="Q452" s="646"/>
    </row>
    <row r="453" spans="1:19" s="242" customFormat="1" ht="15" customHeight="1">
      <c r="A453" s="286"/>
      <c r="B453" s="286"/>
      <c r="C453" s="286"/>
      <c r="D453" s="286"/>
      <c r="E453" s="644"/>
      <c r="F453" s="682"/>
      <c r="G453" s="682"/>
      <c r="H453" s="284"/>
      <c r="I453" s="286"/>
      <c r="J453" s="286"/>
      <c r="K453" s="286"/>
      <c r="L453" s="286"/>
      <c r="M453" s="286"/>
      <c r="N453" s="645"/>
      <c r="O453" s="645"/>
      <c r="P453" s="645"/>
      <c r="Q453" s="646"/>
    </row>
    <row r="454" spans="1:19" s="242" customFormat="1" ht="15" customHeight="1">
      <c r="A454" s="286"/>
      <c r="B454" s="286"/>
      <c r="C454" s="286"/>
      <c r="D454" s="286"/>
      <c r="E454" s="644"/>
      <c r="F454" s="682"/>
      <c r="G454" s="682"/>
      <c r="H454" s="284"/>
      <c r="I454" s="286"/>
      <c r="J454" s="286"/>
      <c r="K454" s="286"/>
      <c r="L454" s="286"/>
      <c r="M454" s="286"/>
      <c r="N454" s="645"/>
      <c r="O454" s="645"/>
      <c r="P454" s="645"/>
      <c r="Q454" s="646"/>
    </row>
    <row r="455" spans="1:19" s="242" customFormat="1" ht="15" customHeight="1">
      <c r="A455" s="286"/>
      <c r="B455" s="286"/>
      <c r="C455" s="286"/>
      <c r="D455" s="286"/>
      <c r="E455" s="644"/>
      <c r="F455" s="682"/>
      <c r="G455" s="682"/>
      <c r="H455" s="284"/>
      <c r="I455" s="286"/>
      <c r="J455" s="286"/>
      <c r="K455" s="286"/>
      <c r="L455" s="286"/>
      <c r="M455" s="286"/>
      <c r="N455" s="645"/>
      <c r="O455" s="645"/>
      <c r="P455" s="645"/>
      <c r="Q455" s="646"/>
    </row>
    <row r="456" spans="1:19" s="242" customFormat="1" ht="15" customHeight="1">
      <c r="A456" s="670"/>
      <c r="B456" s="670"/>
      <c r="C456" s="670"/>
      <c r="D456" s="670"/>
      <c r="E456" s="647"/>
      <c r="F456" s="617"/>
      <c r="G456" s="617"/>
      <c r="H456" s="288"/>
      <c r="I456" s="670"/>
      <c r="J456" s="670"/>
      <c r="K456" s="670"/>
      <c r="L456" s="670"/>
      <c r="M456" s="670"/>
      <c r="N456" s="648"/>
      <c r="O456" s="648"/>
      <c r="P456" s="648"/>
      <c r="Q456" s="649"/>
    </row>
    <row r="457" spans="1:19" s="242" customFormat="1" ht="15" customHeight="1">
      <c r="A457" s="689">
        <v>2</v>
      </c>
      <c r="B457" s="691">
        <v>4</v>
      </c>
      <c r="C457" s="691">
        <v>13</v>
      </c>
      <c r="D457" s="691">
        <v>3</v>
      </c>
      <c r="E457" s="758" t="s">
        <v>60</v>
      </c>
      <c r="F457" s="759"/>
      <c r="G457" s="759"/>
      <c r="H457" s="706"/>
      <c r="I457" s="427"/>
      <c r="J457" s="427"/>
      <c r="K457" s="427"/>
      <c r="L457" s="427"/>
      <c r="M457" s="690"/>
      <c r="N457" s="605">
        <f>SUM(N458:N462)</f>
        <v>49455000</v>
      </c>
      <c r="O457" s="605"/>
      <c r="P457" s="605"/>
      <c r="Q457" s="637"/>
    </row>
    <row r="458" spans="1:19" s="383" customFormat="1" ht="15" customHeight="1">
      <c r="A458" s="693"/>
      <c r="B458" s="688"/>
      <c r="C458" s="688"/>
      <c r="D458" s="688"/>
      <c r="E458" s="704"/>
      <c r="F458" s="624" t="s">
        <v>14</v>
      </c>
      <c r="G458" s="705" t="str">
        <f>'RAB 2.4.13 OKE'!G46</f>
        <v>Pipa Aw 1.5 Inci</v>
      </c>
      <c r="H458" s="386"/>
      <c r="I458" s="386"/>
      <c r="J458" s="386"/>
      <c r="K458" s="386"/>
      <c r="L458" s="386"/>
      <c r="M458" s="694"/>
      <c r="N458" s="626">
        <f>'RAB 2.4.13 OKE'!Q46</f>
        <v>47850000</v>
      </c>
      <c r="O458" s="626"/>
      <c r="P458" s="626"/>
      <c r="Q458" s="640"/>
    </row>
    <row r="459" spans="1:19" s="383" customFormat="1" ht="15" customHeight="1">
      <c r="A459" s="693"/>
      <c r="B459" s="688"/>
      <c r="C459" s="688"/>
      <c r="D459" s="688"/>
      <c r="E459" s="704"/>
      <c r="F459" s="624" t="s">
        <v>14</v>
      </c>
      <c r="G459" s="705" t="str">
        <f>'RAB 2.4.13 OKE'!G47</f>
        <v>Lem Pipa</v>
      </c>
      <c r="H459" s="386"/>
      <c r="I459" s="386"/>
      <c r="J459" s="386"/>
      <c r="K459" s="386"/>
      <c r="L459" s="386"/>
      <c r="M459" s="694"/>
      <c r="N459" s="626">
        <f>'RAB 2.4.13 OKE'!Q47</f>
        <v>175000</v>
      </c>
      <c r="O459" s="626"/>
      <c r="P459" s="626"/>
      <c r="Q459" s="640"/>
    </row>
    <row r="460" spans="1:19" s="383" customFormat="1" ht="15" customHeight="1">
      <c r="A460" s="693"/>
      <c r="B460" s="688"/>
      <c r="C460" s="688"/>
      <c r="D460" s="688"/>
      <c r="E460" s="693"/>
      <c r="F460" s="627" t="s">
        <v>14</v>
      </c>
      <c r="G460" s="628" t="str">
        <f>'RAB 2.4.13 OKE'!G48</f>
        <v>Accessoris</v>
      </c>
      <c r="H460" s="628"/>
      <c r="I460" s="628"/>
      <c r="J460" s="628"/>
      <c r="K460" s="386"/>
      <c r="L460" s="386"/>
      <c r="M460" s="694"/>
      <c r="N460" s="626">
        <f>'RAB 2.4.13 OKE'!Q48</f>
        <v>200000</v>
      </c>
      <c r="O460" s="626"/>
      <c r="P460" s="626"/>
      <c r="Q460" s="640"/>
      <c r="S460" s="629">
        <v>794750</v>
      </c>
    </row>
    <row r="461" spans="1:19" s="383" customFormat="1" ht="15" customHeight="1">
      <c r="A461" s="693"/>
      <c r="B461" s="688"/>
      <c r="C461" s="688"/>
      <c r="D461" s="688"/>
      <c r="E461" s="693"/>
      <c r="F461" s="627" t="s">
        <v>14</v>
      </c>
      <c r="G461" s="628" t="str">
        <f>'RAB 2.4.13 OKE'!G49</f>
        <v>Pasir</v>
      </c>
      <c r="H461" s="628"/>
      <c r="I461" s="628"/>
      <c r="J461" s="628"/>
      <c r="K461" s="386"/>
      <c r="L461" s="386"/>
      <c r="M461" s="694"/>
      <c r="N461" s="626">
        <f>'RAB 2.4.13 OKE'!Q49</f>
        <v>780000</v>
      </c>
      <c r="O461" s="626"/>
      <c r="P461" s="626"/>
      <c r="Q461" s="640"/>
      <c r="S461" s="630">
        <f>S460-N466</f>
        <v>360872</v>
      </c>
    </row>
    <row r="462" spans="1:19" s="383" customFormat="1" ht="15" customHeight="1">
      <c r="A462" s="693"/>
      <c r="B462" s="688"/>
      <c r="C462" s="688"/>
      <c r="D462" s="688"/>
      <c r="E462" s="693"/>
      <c r="F462" s="627" t="s">
        <v>14</v>
      </c>
      <c r="G462" s="628" t="str">
        <f>'RAB 2.4.13 OKE'!G50</f>
        <v>Cangkul</v>
      </c>
      <c r="H462" s="628"/>
      <c r="I462" s="628"/>
      <c r="J462" s="628"/>
      <c r="K462" s="386"/>
      <c r="L462" s="386"/>
      <c r="M462" s="694"/>
      <c r="N462" s="626">
        <f>'RAB 2.4.13 OKE'!Q50</f>
        <v>450000</v>
      </c>
      <c r="O462" s="626"/>
      <c r="P462" s="626"/>
      <c r="Q462" s="640"/>
    </row>
    <row r="463" spans="1:19" s="242" customFormat="1" ht="15" customHeight="1">
      <c r="A463" s="689"/>
      <c r="B463" s="691"/>
      <c r="C463" s="691"/>
      <c r="D463" s="691"/>
      <c r="E463" s="689"/>
      <c r="F463" s="622"/>
      <c r="G463" s="706"/>
      <c r="H463" s="706"/>
      <c r="I463" s="706"/>
      <c r="J463" s="706"/>
      <c r="K463" s="427"/>
      <c r="L463" s="427"/>
      <c r="M463" s="690"/>
      <c r="N463" s="605"/>
      <c r="O463" s="605"/>
      <c r="P463" s="605"/>
      <c r="Q463" s="637"/>
    </row>
    <row r="464" spans="1:19" s="242" customFormat="1" ht="15" customHeight="1">
      <c r="A464" s="689"/>
      <c r="B464" s="691"/>
      <c r="C464" s="691"/>
      <c r="D464" s="691"/>
      <c r="E464" s="760" t="s">
        <v>157</v>
      </c>
      <c r="F464" s="761"/>
      <c r="G464" s="761"/>
      <c r="H464" s="761"/>
      <c r="I464" s="761"/>
      <c r="J464" s="761"/>
      <c r="K464" s="761"/>
      <c r="L464" s="761"/>
      <c r="M464" s="764"/>
      <c r="N464" s="631">
        <f>SUM(N40+N153+N392+N427)</f>
        <v>1043080073.4</v>
      </c>
      <c r="O464" s="631"/>
      <c r="P464" s="631"/>
      <c r="Q464" s="637"/>
    </row>
    <row r="465" spans="1:20" s="242" customFormat="1" ht="15" customHeight="1">
      <c r="A465" s="689"/>
      <c r="B465" s="691"/>
      <c r="C465" s="691"/>
      <c r="D465" s="691"/>
      <c r="E465" s="689"/>
      <c r="F465" s="761" t="s">
        <v>158</v>
      </c>
      <c r="G465" s="761"/>
      <c r="H465" s="761"/>
      <c r="I465" s="761"/>
      <c r="J465" s="761"/>
      <c r="K465" s="761"/>
      <c r="L465" s="761"/>
      <c r="M465" s="764"/>
      <c r="N465" s="632">
        <f>N37-N464</f>
        <v>-433878.39999997616</v>
      </c>
      <c r="O465" s="632"/>
      <c r="P465" s="632"/>
      <c r="Q465" s="637"/>
      <c r="S465" s="271">
        <v>23232214</v>
      </c>
      <c r="T465" s="282">
        <f>N465-S465</f>
        <v>-23666092.399999976</v>
      </c>
    </row>
    <row r="466" spans="1:20" s="242" customFormat="1" ht="15" customHeight="1">
      <c r="A466" s="689">
        <v>3</v>
      </c>
      <c r="B466" s="691"/>
      <c r="C466" s="691"/>
      <c r="D466" s="691"/>
      <c r="E466" s="762" t="s">
        <v>160</v>
      </c>
      <c r="F466" s="763"/>
      <c r="G466" s="763"/>
      <c r="H466" s="706"/>
      <c r="I466" s="427"/>
      <c r="J466" s="427"/>
      <c r="K466" s="427"/>
      <c r="L466" s="427"/>
      <c r="M466" s="690"/>
      <c r="N466" s="633">
        <f>N471+N475</f>
        <v>433878</v>
      </c>
      <c r="O466" s="633"/>
      <c r="P466" s="633"/>
      <c r="Q466" s="637"/>
    </row>
    <row r="467" spans="1:20" s="242" customFormat="1" ht="15" customHeight="1">
      <c r="A467" s="689">
        <v>3</v>
      </c>
      <c r="B467" s="691">
        <v>1</v>
      </c>
      <c r="C467" s="691"/>
      <c r="D467" s="691"/>
      <c r="E467" s="758" t="s">
        <v>159</v>
      </c>
      <c r="F467" s="759"/>
      <c r="G467" s="759"/>
      <c r="H467" s="706"/>
      <c r="I467" s="427"/>
      <c r="J467" s="427"/>
      <c r="K467" s="427"/>
      <c r="L467" s="427"/>
      <c r="M467" s="690"/>
      <c r="N467" s="633">
        <f>SUM(N468:N470)</f>
        <v>433878</v>
      </c>
      <c r="O467" s="633"/>
      <c r="P467" s="633"/>
      <c r="Q467" s="637"/>
      <c r="T467" s="271">
        <f>1740750-433878</f>
        <v>1306872</v>
      </c>
    </row>
    <row r="468" spans="1:20" s="242" customFormat="1" ht="15" customHeight="1">
      <c r="A468" s="689">
        <v>3</v>
      </c>
      <c r="B468" s="691">
        <v>1</v>
      </c>
      <c r="C468" s="691">
        <v>1</v>
      </c>
      <c r="D468" s="691"/>
      <c r="E468" s="758" t="s">
        <v>161</v>
      </c>
      <c r="F468" s="759"/>
      <c r="G468" s="759"/>
      <c r="H468" s="427"/>
      <c r="I468" s="427"/>
      <c r="J468" s="427"/>
      <c r="K468" s="427"/>
      <c r="L468" s="427"/>
      <c r="M468" s="690"/>
      <c r="N468" s="633">
        <v>433878</v>
      </c>
      <c r="O468" s="633"/>
      <c r="P468" s="633"/>
      <c r="Q468" s="637"/>
    </row>
    <row r="469" spans="1:20" s="242" customFormat="1" ht="15" customHeight="1">
      <c r="A469" s="689">
        <v>3</v>
      </c>
      <c r="B469" s="691">
        <v>1</v>
      </c>
      <c r="C469" s="691">
        <v>2</v>
      </c>
      <c r="D469" s="691"/>
      <c r="E469" s="758" t="s">
        <v>175</v>
      </c>
      <c r="F469" s="759"/>
      <c r="G469" s="759"/>
      <c r="H469" s="427"/>
      <c r="I469" s="427"/>
      <c r="J469" s="427"/>
      <c r="K469" s="427"/>
      <c r="L469" s="427"/>
      <c r="M469" s="690"/>
      <c r="N469" s="633" t="s">
        <v>14</v>
      </c>
      <c r="O469" s="633"/>
      <c r="P469" s="633"/>
      <c r="Q469" s="637"/>
      <c r="S469" s="271">
        <v>120668700</v>
      </c>
    </row>
    <row r="470" spans="1:20" s="242" customFormat="1" ht="15" customHeight="1">
      <c r="A470" s="689">
        <v>3</v>
      </c>
      <c r="B470" s="691">
        <v>1</v>
      </c>
      <c r="C470" s="691">
        <v>3</v>
      </c>
      <c r="D470" s="691"/>
      <c r="E470" s="758" t="s">
        <v>162</v>
      </c>
      <c r="F470" s="759"/>
      <c r="G470" s="759"/>
      <c r="H470" s="427"/>
      <c r="I470" s="427"/>
      <c r="J470" s="427"/>
      <c r="K470" s="427"/>
      <c r="L470" s="427"/>
      <c r="M470" s="690"/>
      <c r="N470" s="633" t="s">
        <v>14</v>
      </c>
      <c r="O470" s="633"/>
      <c r="P470" s="633"/>
      <c r="Q470" s="637"/>
      <c r="S470" s="271">
        <v>200481300</v>
      </c>
    </row>
    <row r="471" spans="1:20" s="242" customFormat="1" ht="15" customHeight="1">
      <c r="A471" s="689"/>
      <c r="B471" s="691"/>
      <c r="C471" s="691"/>
      <c r="D471" s="691"/>
      <c r="E471" s="760" t="s">
        <v>163</v>
      </c>
      <c r="F471" s="761"/>
      <c r="G471" s="761"/>
      <c r="H471" s="686"/>
      <c r="I471" s="697"/>
      <c r="J471" s="427"/>
      <c r="K471" s="427"/>
      <c r="L471" s="427"/>
      <c r="M471" s="690"/>
      <c r="N471" s="605">
        <f>SUM(N467)</f>
        <v>433878</v>
      </c>
      <c r="O471" s="605"/>
      <c r="P471" s="605"/>
      <c r="Q471" s="637"/>
      <c r="S471" s="271">
        <f>SUM(S469:S470)</f>
        <v>321150000</v>
      </c>
    </row>
    <row r="472" spans="1:20" s="242" customFormat="1" ht="15" customHeight="1">
      <c r="A472" s="689">
        <v>3</v>
      </c>
      <c r="B472" s="691">
        <v>2</v>
      </c>
      <c r="C472" s="691"/>
      <c r="D472" s="691"/>
      <c r="E472" s="758" t="s">
        <v>164</v>
      </c>
      <c r="F472" s="759"/>
      <c r="G472" s="759"/>
      <c r="H472" s="427"/>
      <c r="I472" s="427"/>
      <c r="J472" s="427"/>
      <c r="K472" s="427"/>
      <c r="L472" s="427"/>
      <c r="M472" s="690"/>
      <c r="N472" s="605">
        <f>SUM(N473:N474)</f>
        <v>0</v>
      </c>
      <c r="O472" s="605"/>
      <c r="P472" s="605"/>
      <c r="Q472" s="637"/>
      <c r="S472" s="271"/>
    </row>
    <row r="473" spans="1:20" s="242" customFormat="1" ht="15" customHeight="1">
      <c r="A473" s="689">
        <v>3</v>
      </c>
      <c r="B473" s="691">
        <v>2</v>
      </c>
      <c r="C473" s="691">
        <v>1</v>
      </c>
      <c r="D473" s="691"/>
      <c r="E473" s="758" t="s">
        <v>165</v>
      </c>
      <c r="F473" s="759"/>
      <c r="G473" s="759"/>
      <c r="H473" s="427"/>
      <c r="I473" s="427"/>
      <c r="J473" s="427"/>
      <c r="K473" s="427"/>
      <c r="L473" s="427"/>
      <c r="M473" s="690"/>
      <c r="N473" s="633" t="s">
        <v>14</v>
      </c>
      <c r="O473" s="633"/>
      <c r="P473" s="633"/>
      <c r="Q473" s="637"/>
      <c r="S473" s="311">
        <f>N466+N465</f>
        <v>-0.39999997615814209</v>
      </c>
    </row>
    <row r="474" spans="1:20" s="242" customFormat="1" ht="15" customHeight="1">
      <c r="A474" s="689">
        <v>3</v>
      </c>
      <c r="B474" s="691">
        <v>2</v>
      </c>
      <c r="C474" s="691">
        <v>2</v>
      </c>
      <c r="D474" s="691"/>
      <c r="E474" s="758" t="s">
        <v>166</v>
      </c>
      <c r="F474" s="759"/>
      <c r="G474" s="759"/>
      <c r="H474" s="706"/>
      <c r="I474" s="706"/>
      <c r="J474" s="706"/>
      <c r="K474" s="427"/>
      <c r="L474" s="427"/>
      <c r="M474" s="690"/>
      <c r="N474" s="633" t="s">
        <v>14</v>
      </c>
      <c r="O474" s="633"/>
      <c r="P474" s="633"/>
      <c r="Q474" s="637"/>
      <c r="S474" s="311">
        <f>N466-434304</f>
        <v>-426</v>
      </c>
    </row>
    <row r="475" spans="1:20" s="242" customFormat="1" ht="15" customHeight="1">
      <c r="A475" s="689"/>
      <c r="B475" s="691"/>
      <c r="C475" s="691"/>
      <c r="D475" s="691"/>
      <c r="E475" s="760" t="s">
        <v>163</v>
      </c>
      <c r="F475" s="761"/>
      <c r="G475" s="761"/>
      <c r="H475" s="706"/>
      <c r="I475" s="706"/>
      <c r="J475" s="706"/>
      <c r="K475" s="427"/>
      <c r="L475" s="427"/>
      <c r="M475" s="690"/>
      <c r="N475" s="605">
        <f>SUM(N473:N474)</f>
        <v>0</v>
      </c>
      <c r="O475" s="605"/>
      <c r="P475" s="605"/>
      <c r="Q475" s="637"/>
    </row>
    <row r="476" spans="1:20" s="242" customFormat="1" ht="15" customHeight="1"/>
    <row r="477" spans="1:20" s="242" customFormat="1" ht="15" customHeight="1"/>
    <row r="478" spans="1:20" s="242" customFormat="1" ht="15" customHeight="1"/>
    <row r="479" spans="1:20" s="242" customFormat="1" ht="15" customHeight="1">
      <c r="J479" s="754" t="s">
        <v>181</v>
      </c>
      <c r="K479" s="754"/>
      <c r="L479" s="754"/>
      <c r="M479" s="754"/>
      <c r="N479" s="754"/>
      <c r="O479" s="754"/>
      <c r="P479" s="754"/>
      <c r="Q479" s="754"/>
    </row>
    <row r="480" spans="1:20" s="242" customFormat="1" ht="15" customHeight="1">
      <c r="J480" s="754" t="s">
        <v>442</v>
      </c>
      <c r="K480" s="754"/>
      <c r="L480" s="754"/>
      <c r="M480" s="754"/>
      <c r="N480" s="754"/>
      <c r="O480" s="754"/>
      <c r="P480" s="754"/>
      <c r="Q480" s="754"/>
    </row>
    <row r="481" spans="2:17" s="242" customFormat="1" ht="15" customHeight="1"/>
    <row r="482" spans="2:17" s="242" customFormat="1" ht="15" customHeight="1"/>
    <row r="483" spans="2:17" s="242" customFormat="1" ht="15" customHeight="1"/>
    <row r="484" spans="2:17" s="242" customFormat="1" ht="15" customHeight="1"/>
    <row r="485" spans="2:17" s="242" customFormat="1" ht="15" customHeight="1"/>
    <row r="486" spans="2:17" s="242" customFormat="1" ht="15" customHeight="1">
      <c r="J486" s="754" t="s">
        <v>324</v>
      </c>
      <c r="K486" s="754"/>
      <c r="L486" s="754"/>
      <c r="M486" s="754"/>
      <c r="N486" s="754"/>
      <c r="O486" s="754"/>
      <c r="P486" s="754"/>
      <c r="Q486" s="754"/>
    </row>
    <row r="487" spans="2:17" s="242" customFormat="1" ht="15" customHeight="1"/>
    <row r="488" spans="2:17" s="242" customFormat="1" ht="15" customHeight="1"/>
    <row r="489" spans="2:17" s="242" customFormat="1" ht="15" customHeight="1"/>
    <row r="490" spans="2:17" s="242" customFormat="1" ht="15" customHeight="1">
      <c r="B490" s="701"/>
      <c r="G490" s="311"/>
    </row>
    <row r="491" spans="2:17" s="242" customFormat="1" ht="15" customHeight="1">
      <c r="B491" s="701"/>
      <c r="G491" s="311"/>
    </row>
    <row r="492" spans="2:17" s="242" customFormat="1" ht="15" customHeight="1"/>
    <row r="493" spans="2:17" s="242" customFormat="1" ht="15" customHeight="1"/>
    <row r="494" spans="2:17" s="242" customFormat="1" ht="15" customHeight="1"/>
    <row r="495" spans="2:17" s="242" customFormat="1" ht="15" customHeight="1"/>
    <row r="496" spans="2:17" s="242" customFormat="1" ht="15" customHeight="1"/>
    <row r="497" s="242" customFormat="1" ht="15" customHeight="1"/>
    <row r="498" s="242" customFormat="1" ht="15" customHeight="1"/>
    <row r="499" s="242" customFormat="1" ht="16.5"/>
    <row r="500" s="242" customFormat="1" ht="16.5"/>
    <row r="501" s="242" customFormat="1" ht="16.5"/>
    <row r="502" s="242" customFormat="1" ht="16.5"/>
    <row r="503" s="242" customFormat="1" ht="16.5"/>
    <row r="504" s="242" customFormat="1" ht="16.5"/>
    <row r="505" s="242" customFormat="1" ht="16.5"/>
    <row r="506" s="242" customFormat="1" ht="16.5"/>
    <row r="507" s="242" customFormat="1" ht="16.5"/>
    <row r="508" s="242" customFormat="1" ht="16.5"/>
    <row r="509" s="242" customFormat="1" ht="16.5"/>
    <row r="510" s="242" customFormat="1" ht="16.5"/>
    <row r="511" s="242" customFormat="1" ht="16.5"/>
    <row r="512" s="242" customFormat="1" ht="16.5"/>
    <row r="513" s="242" customFormat="1" ht="16.5"/>
    <row r="514" s="242" customFormat="1" ht="16.5"/>
    <row r="515" s="242" customFormat="1" ht="16.5"/>
    <row r="516" s="242" customFormat="1" ht="16.5"/>
    <row r="517" s="242" customFormat="1" ht="16.5"/>
    <row r="518" s="242" customFormat="1" ht="16.5"/>
    <row r="519" s="242" customFormat="1" ht="16.5"/>
    <row r="520" s="242" customFormat="1" ht="16.5"/>
    <row r="521" s="242" customFormat="1" ht="16.5"/>
    <row r="522" s="242" customFormat="1" ht="16.5"/>
    <row r="523" s="242" customFormat="1" ht="16.5"/>
    <row r="524" s="242" customFormat="1" ht="16.5"/>
    <row r="525" s="242" customFormat="1" ht="16.5"/>
    <row r="526" s="242" customFormat="1" ht="16.5"/>
    <row r="527" s="242" customFormat="1" ht="16.5"/>
    <row r="528" s="242" customFormat="1" ht="16.5"/>
    <row r="529" s="242" customFormat="1" ht="16.5"/>
    <row r="530" s="242" customFormat="1" ht="16.5"/>
    <row r="531" s="242" customFormat="1" ht="16.5"/>
    <row r="532" s="242" customFormat="1" ht="16.5"/>
    <row r="533" s="242" customFormat="1" ht="16.5"/>
    <row r="534" s="242" customFormat="1" ht="16.5"/>
    <row r="535" s="242" customFormat="1" ht="16.5"/>
    <row r="536" s="242" customFormat="1" ht="16.5"/>
    <row r="537" s="242" customFormat="1" ht="16.5"/>
    <row r="538" s="242" customFormat="1" ht="16.5"/>
    <row r="539" s="242" customFormat="1" ht="16.5"/>
    <row r="540" s="242" customFormat="1" ht="16.5"/>
    <row r="541" s="242" customFormat="1" ht="16.5"/>
    <row r="542" s="242" customFormat="1" ht="16.5"/>
    <row r="543" s="242" customFormat="1" ht="16.5"/>
    <row r="544" s="242" customFormat="1" ht="16.5"/>
    <row r="545" s="242" customFormat="1" ht="16.5"/>
    <row r="546" s="242" customFormat="1" ht="16.5"/>
    <row r="547" s="242" customFormat="1" ht="16.5"/>
    <row r="548" s="242" customFormat="1" ht="16.5"/>
    <row r="549" s="242" customFormat="1" ht="16.5"/>
    <row r="550" s="242" customFormat="1" ht="16.5"/>
    <row r="551" s="242" customFormat="1" ht="16.5"/>
    <row r="552" s="242" customFormat="1" ht="16.5"/>
    <row r="553" s="242" customFormat="1" ht="16.5"/>
    <row r="554" s="242" customFormat="1" ht="16.5"/>
    <row r="555" s="242" customFormat="1" ht="16.5"/>
    <row r="556" s="242" customFormat="1" ht="16.5"/>
    <row r="557" s="242" customFormat="1" ht="16.5"/>
    <row r="558" s="242" customFormat="1" ht="16.5"/>
    <row r="559" s="242" customFormat="1" ht="16.5"/>
    <row r="560" s="242" customFormat="1" ht="16.5"/>
    <row r="561" s="242" customFormat="1" ht="16.5"/>
    <row r="562" s="242" customFormat="1" ht="16.5"/>
    <row r="563" s="242" customFormat="1" ht="16.5"/>
    <row r="564" s="242" customFormat="1" ht="16.5"/>
    <row r="565" s="242" customFormat="1" ht="16.5"/>
    <row r="566" s="242" customFormat="1" ht="16.5"/>
    <row r="567" s="242" customFormat="1" ht="16.5"/>
    <row r="568" s="242" customFormat="1" ht="16.5"/>
    <row r="569" s="242" customFormat="1" ht="16.5"/>
    <row r="570" s="242" customFormat="1" ht="16.5"/>
    <row r="571" s="242" customFormat="1" ht="16.5"/>
    <row r="572" s="242" customFormat="1" ht="16.5"/>
    <row r="573" s="242" customFormat="1" ht="16.5"/>
    <row r="574" s="242" customFormat="1" ht="16.5"/>
    <row r="575" s="242" customFormat="1" ht="16.5"/>
    <row r="576" s="242" customFormat="1" ht="16.5"/>
    <row r="577" s="242" customFormat="1" ht="16.5"/>
    <row r="578" s="242" customFormat="1" ht="16.5"/>
    <row r="579" s="242" customFormat="1" ht="16.5"/>
    <row r="580" s="242" customFormat="1" ht="16.5"/>
    <row r="581" s="242" customFormat="1" ht="16.5"/>
    <row r="582" s="242" customFormat="1" ht="16.5"/>
    <row r="583" s="242" customFormat="1" ht="16.5"/>
    <row r="584" s="242" customFormat="1" ht="16.5"/>
    <row r="585" s="242" customFormat="1" ht="16.5"/>
    <row r="586" s="242" customFormat="1" ht="16.5"/>
    <row r="587" s="242" customFormat="1" ht="16.5"/>
    <row r="588" s="242" customFormat="1" ht="16.5"/>
    <row r="589" s="242" customFormat="1" ht="16.5"/>
    <row r="590" s="242" customFormat="1" ht="16.5"/>
    <row r="591" s="242" customFormat="1" ht="16.5"/>
    <row r="592" s="242" customFormat="1" ht="16.5"/>
    <row r="593" s="242" customFormat="1" ht="16.5"/>
    <row r="594" s="242" customFormat="1" ht="16.5"/>
    <row r="595" s="242" customFormat="1" ht="16.5"/>
    <row r="596" s="242" customFormat="1" ht="16.5"/>
    <row r="597" s="242" customFormat="1" ht="16.5"/>
    <row r="598" s="242" customFormat="1" ht="16.5"/>
    <row r="599" s="242" customFormat="1" ht="16.5"/>
    <row r="600" s="242" customFormat="1" ht="16.5"/>
    <row r="601" s="242" customFormat="1" ht="16.5"/>
    <row r="602" s="242" customFormat="1" ht="16.5"/>
    <row r="603" s="242" customFormat="1" ht="16.5"/>
    <row r="604" s="242" customFormat="1" ht="16.5"/>
    <row r="605" s="242" customFormat="1" ht="16.5"/>
    <row r="606" s="242" customFormat="1" ht="16.5"/>
    <row r="607" s="242" customFormat="1" ht="16.5"/>
    <row r="608" s="242" customFormat="1" ht="16.5"/>
    <row r="609" s="242" customFormat="1" ht="16.5"/>
    <row r="610" s="242" customFormat="1" ht="16.5"/>
    <row r="611" s="242" customFormat="1" ht="16.5"/>
    <row r="612" s="242" customFormat="1" ht="16.5"/>
    <row r="613" s="242" customFormat="1" ht="16.5"/>
    <row r="614" s="242" customFormat="1" ht="16.5"/>
    <row r="615" s="242" customFormat="1" ht="16.5"/>
    <row r="616" s="242" customFormat="1" ht="16.5"/>
    <row r="617" s="242" customFormat="1" ht="16.5"/>
    <row r="618" s="242" customFormat="1" ht="16.5"/>
    <row r="619" s="242" customFormat="1" ht="16.5"/>
    <row r="620" s="242" customFormat="1" ht="16.5"/>
    <row r="621" s="242" customFormat="1" ht="16.5"/>
    <row r="622" s="242" customFormat="1" ht="16.5"/>
    <row r="623" s="242" customFormat="1" ht="16.5"/>
    <row r="624" s="242" customFormat="1" ht="16.5"/>
    <row r="625" s="242" customFormat="1" ht="16.5"/>
    <row r="626" s="242" customFormat="1" ht="16.5"/>
    <row r="627" s="242" customFormat="1" ht="16.5"/>
    <row r="628" s="242" customFormat="1" ht="16.5"/>
    <row r="629" s="242" customFormat="1" ht="16.5"/>
    <row r="630" s="242" customFormat="1" ht="16.5"/>
    <row r="631" s="242" customFormat="1" ht="16.5"/>
    <row r="632" s="242" customFormat="1" ht="16.5"/>
    <row r="633" s="242" customFormat="1" ht="16.5"/>
    <row r="634" s="242" customFormat="1" ht="16.5"/>
    <row r="635" s="242" customFormat="1" ht="16.5"/>
    <row r="636" s="242" customFormat="1" ht="16.5"/>
    <row r="637" s="242" customFormat="1" ht="16.5"/>
    <row r="638" s="242" customFormat="1" ht="16.5"/>
    <row r="639" s="242" customFormat="1" ht="16.5"/>
    <row r="640" s="242" customFormat="1" ht="16.5"/>
    <row r="641" s="242" customFormat="1" ht="16.5"/>
    <row r="642" s="242" customFormat="1" ht="16.5"/>
    <row r="643" s="242" customFormat="1" ht="16.5"/>
    <row r="644" s="242" customFormat="1" ht="16.5"/>
    <row r="645" s="242" customFormat="1" ht="16.5"/>
    <row r="646" s="242" customFormat="1" ht="16.5"/>
    <row r="647" s="242" customFormat="1" ht="16.5"/>
    <row r="648" s="242" customFormat="1" ht="16.5"/>
    <row r="649" s="242" customFormat="1" ht="16.5"/>
    <row r="650" s="242" customFormat="1" ht="16.5"/>
    <row r="651" s="242" customFormat="1" ht="16.5"/>
    <row r="652" s="242" customFormat="1" ht="16.5"/>
    <row r="653" s="242" customFormat="1" ht="16.5"/>
    <row r="654" s="242" customFormat="1" ht="16.5"/>
    <row r="655" s="242" customFormat="1" ht="16.5"/>
    <row r="656" s="242" customFormat="1" ht="16.5"/>
    <row r="657" s="242" customFormat="1" ht="16.5"/>
    <row r="658" s="242" customFormat="1" ht="16.5"/>
    <row r="659" s="242" customFormat="1" ht="16.5"/>
    <row r="660" s="242" customFormat="1" ht="16.5"/>
    <row r="661" s="242" customFormat="1" ht="16.5"/>
    <row r="662" s="242" customFormat="1" ht="16.5"/>
    <row r="663" s="242" customFormat="1" ht="16.5"/>
    <row r="664" s="242" customFormat="1" ht="16.5"/>
    <row r="665" s="242" customFormat="1" ht="16.5"/>
    <row r="666" s="242" customFormat="1" ht="16.5"/>
    <row r="667" s="242" customFormat="1" ht="16.5"/>
    <row r="668" s="242" customFormat="1" ht="16.5"/>
    <row r="669" s="242" customFormat="1" ht="16.5"/>
    <row r="670" s="242" customFormat="1" ht="16.5"/>
    <row r="671" s="242" customFormat="1" ht="16.5"/>
    <row r="672" s="242" customFormat="1" ht="16.5"/>
    <row r="673" s="242" customFormat="1" ht="16.5"/>
    <row r="674" s="242" customFormat="1" ht="16.5"/>
    <row r="675" s="242" customFormat="1" ht="16.5"/>
    <row r="676" s="242" customFormat="1" ht="16.5"/>
    <row r="677" s="242" customFormat="1" ht="16.5"/>
    <row r="678" s="242" customFormat="1" ht="16.5"/>
    <row r="679" s="242" customFormat="1" ht="16.5"/>
    <row r="680" s="242" customFormat="1" ht="16.5"/>
    <row r="681" s="242" customFormat="1" ht="16.5"/>
    <row r="682" s="242" customFormat="1" ht="16.5"/>
    <row r="683" s="242" customFormat="1" ht="16.5"/>
    <row r="684" s="242" customFormat="1" ht="16.5"/>
    <row r="685" s="242" customFormat="1" ht="16.5"/>
    <row r="686" s="242" customFormat="1" ht="16.5"/>
    <row r="687" s="242" customFormat="1" ht="16.5"/>
    <row r="688" s="242" customFormat="1" ht="16.5"/>
    <row r="689" s="242" customFormat="1" ht="16.5"/>
    <row r="690" s="242" customFormat="1" ht="16.5"/>
    <row r="691" s="242" customFormat="1" ht="16.5"/>
    <row r="692" s="242" customFormat="1" ht="16.5"/>
    <row r="693" s="242" customFormat="1" ht="16.5"/>
    <row r="694" s="242" customFormat="1" ht="16.5"/>
    <row r="695" s="242" customFormat="1" ht="16.5"/>
    <row r="696" s="242" customFormat="1" ht="16.5"/>
    <row r="697" s="242" customFormat="1" ht="16.5"/>
    <row r="698" s="242" customFormat="1" ht="16.5"/>
    <row r="699" s="242" customFormat="1" ht="16.5"/>
    <row r="700" s="242" customFormat="1" ht="16.5"/>
    <row r="701" s="242" customFormat="1" ht="16.5"/>
    <row r="702" s="242" customFormat="1" ht="16.5"/>
    <row r="703" s="242" customFormat="1" ht="16.5"/>
    <row r="704" s="242" customFormat="1" ht="16.5"/>
    <row r="705" s="242" customFormat="1" ht="16.5"/>
    <row r="706" s="242" customFormat="1" ht="16.5"/>
    <row r="707" s="242" customFormat="1" ht="16.5"/>
    <row r="708" s="242" customFormat="1" ht="16.5"/>
    <row r="709" s="242" customFormat="1" ht="16.5"/>
    <row r="710" s="242" customFormat="1" ht="16.5"/>
    <row r="711" s="242" customFormat="1" ht="16.5"/>
    <row r="712" s="242" customFormat="1" ht="16.5"/>
    <row r="713" s="242" customFormat="1" ht="16.5"/>
    <row r="714" s="242" customFormat="1" ht="16.5"/>
    <row r="715" s="242" customFormat="1" ht="16.5"/>
    <row r="716" s="242" customFormat="1" ht="16.5"/>
    <row r="717" s="242" customFormat="1" ht="16.5"/>
    <row r="718" s="242" customFormat="1" ht="16.5"/>
    <row r="719" s="242" customFormat="1" ht="16.5"/>
    <row r="720" s="242" customFormat="1" ht="16.5"/>
    <row r="721" s="242" customFormat="1" ht="16.5"/>
    <row r="722" s="242" customFormat="1" ht="16.5"/>
    <row r="723" s="242" customFormat="1" ht="16.5"/>
    <row r="724" s="242" customFormat="1" ht="16.5"/>
    <row r="725" s="242" customFormat="1" ht="16.5"/>
    <row r="726" s="242" customFormat="1" ht="16.5"/>
    <row r="727" s="242" customFormat="1" ht="16.5"/>
    <row r="728" s="242" customFormat="1" ht="16.5"/>
    <row r="729" s="242" customFormat="1" ht="16.5"/>
    <row r="730" s="242" customFormat="1" ht="16.5"/>
    <row r="731" s="242" customFormat="1" ht="16.5"/>
    <row r="732" s="242" customFormat="1" ht="16.5"/>
    <row r="733" s="242" customFormat="1" ht="16.5"/>
    <row r="734" s="242" customFormat="1" ht="16.5"/>
    <row r="735" s="242" customFormat="1" ht="16.5"/>
    <row r="736" s="242" customFormat="1" ht="16.5"/>
    <row r="737" s="242" customFormat="1" ht="16.5"/>
    <row r="738" s="242" customFormat="1" ht="16.5"/>
    <row r="739" s="242" customFormat="1" ht="16.5"/>
    <row r="740" s="242" customFormat="1" ht="16.5"/>
    <row r="741" s="242" customFormat="1" ht="16.5"/>
    <row r="742" s="242" customFormat="1" ht="16.5"/>
    <row r="743" s="242" customFormat="1" ht="16.5"/>
    <row r="744" s="242" customFormat="1" ht="16.5"/>
    <row r="745" s="242" customFormat="1" ht="16.5"/>
    <row r="746" s="242" customFormat="1" ht="16.5"/>
    <row r="747" s="242" customFormat="1" ht="16.5"/>
    <row r="748" s="242" customFormat="1" ht="16.5"/>
    <row r="749" s="242" customFormat="1" ht="16.5"/>
    <row r="750" s="242" customFormat="1" ht="16.5"/>
    <row r="751" s="242" customFormat="1" ht="16.5"/>
    <row r="752" s="242" customFormat="1" ht="16.5"/>
    <row r="753" s="242" customFormat="1" ht="16.5"/>
    <row r="754" s="242" customFormat="1" ht="16.5"/>
    <row r="755" s="242" customFormat="1" ht="16.5"/>
    <row r="756" s="242" customFormat="1" ht="16.5"/>
    <row r="757" s="242" customFormat="1" ht="16.5"/>
    <row r="758" s="242" customFormat="1" ht="16.5"/>
    <row r="759" s="242" customFormat="1" ht="16.5"/>
    <row r="760" s="242" customFormat="1" ht="16.5"/>
    <row r="761" s="242" customFormat="1" ht="16.5"/>
    <row r="762" s="242" customFormat="1" ht="16.5"/>
    <row r="763" s="242" customFormat="1" ht="16.5"/>
    <row r="764" s="242" customFormat="1" ht="16.5"/>
    <row r="765" s="242" customFormat="1" ht="16.5"/>
    <row r="766" s="242" customFormat="1" ht="16.5"/>
    <row r="767" s="242" customFormat="1" ht="16.5"/>
    <row r="768" s="242" customFormat="1" ht="16.5"/>
    <row r="769" s="242" customFormat="1" ht="16.5"/>
    <row r="770" s="242" customFormat="1" ht="16.5"/>
    <row r="771" s="242" customFormat="1" ht="16.5"/>
    <row r="772" s="242" customFormat="1" ht="16.5"/>
    <row r="773" s="242" customFormat="1" ht="16.5"/>
    <row r="774" s="242" customFormat="1" ht="16.5"/>
    <row r="775" s="242" customFormat="1" ht="16.5"/>
    <row r="776" s="242" customFormat="1" ht="16.5"/>
    <row r="777" s="242" customFormat="1" ht="16.5"/>
    <row r="778" s="242" customFormat="1" ht="16.5"/>
    <row r="779" s="242" customFormat="1" ht="16.5"/>
    <row r="780" s="242" customFormat="1" ht="16.5"/>
    <row r="781" s="242" customFormat="1" ht="16.5"/>
    <row r="782" s="242" customFormat="1" ht="16.5"/>
    <row r="783" s="242" customFormat="1" ht="16.5"/>
    <row r="784" s="242" customFormat="1" ht="16.5"/>
    <row r="785" s="242" customFormat="1" ht="16.5"/>
    <row r="786" s="242" customFormat="1" ht="16.5"/>
    <row r="787" s="242" customFormat="1" ht="16.5"/>
    <row r="788" s="242" customFormat="1" ht="16.5"/>
    <row r="789" s="242" customFormat="1" ht="16.5"/>
    <row r="790" s="242" customFormat="1" ht="16.5"/>
    <row r="791" s="242" customFormat="1" ht="16.5"/>
    <row r="792" s="242" customFormat="1" ht="16.5"/>
    <row r="793" s="242" customFormat="1" ht="16.5"/>
    <row r="794" s="242" customFormat="1" ht="16.5"/>
    <row r="795" s="242" customFormat="1" ht="16.5"/>
    <row r="796" s="242" customFormat="1" ht="16.5"/>
    <row r="797" s="242" customFormat="1" ht="16.5"/>
    <row r="798" s="242" customFormat="1" ht="16.5"/>
    <row r="799" s="242" customFormat="1" ht="16.5"/>
    <row r="800" s="242" customFormat="1" ht="16.5"/>
    <row r="801" s="242" customFormat="1" ht="16.5"/>
    <row r="802" s="242" customFormat="1" ht="16.5"/>
    <row r="803" s="242" customFormat="1" ht="16.5"/>
    <row r="804" s="242" customFormat="1" ht="16.5"/>
    <row r="805" s="242" customFormat="1" ht="16.5"/>
    <row r="806" s="242" customFormat="1" ht="16.5"/>
    <row r="807" s="242" customFormat="1" ht="16.5"/>
    <row r="808" s="242" customFormat="1" ht="16.5"/>
    <row r="809" s="242" customFormat="1" ht="16.5"/>
    <row r="810" s="242" customFormat="1" ht="16.5"/>
    <row r="811" s="242" customFormat="1" ht="16.5"/>
    <row r="812" s="242" customFormat="1" ht="16.5"/>
    <row r="813" s="242" customFormat="1" ht="16.5"/>
    <row r="814" s="242" customFormat="1" ht="16.5"/>
    <row r="815" s="242" customFormat="1" ht="16.5"/>
    <row r="816" s="242" customFormat="1" ht="16.5"/>
    <row r="817" s="242" customFormat="1" ht="16.5"/>
    <row r="818" s="242" customFormat="1" ht="16.5"/>
    <row r="819" s="242" customFormat="1" ht="16.5"/>
    <row r="820" s="242" customFormat="1" ht="16.5"/>
    <row r="821" s="242" customFormat="1" ht="16.5"/>
    <row r="822" s="242" customFormat="1" ht="16.5"/>
    <row r="823" s="242" customFormat="1" ht="16.5"/>
    <row r="824" s="242" customFormat="1" ht="16.5"/>
    <row r="825" s="242" customFormat="1" ht="16.5"/>
    <row r="826" s="242" customFormat="1" ht="16.5"/>
    <row r="827" s="242" customFormat="1" ht="16.5"/>
    <row r="828" s="45" customFormat="1" ht="12.75"/>
    <row r="829" s="45" customFormat="1" ht="12.75"/>
    <row r="830" s="45" customFormat="1" ht="12.75"/>
    <row r="831" s="45" customFormat="1" ht="12.75"/>
    <row r="832" s="45" customFormat="1" ht="12.75"/>
    <row r="833" s="45" customFormat="1" ht="12.75"/>
  </sheetData>
  <mergeCells count="127">
    <mergeCell ref="A7:Q7"/>
    <mergeCell ref="A9:D9"/>
    <mergeCell ref="F9:M10"/>
    <mergeCell ref="Q9:Q10"/>
    <mergeCell ref="A10:D10"/>
    <mergeCell ref="E21:L21"/>
    <mergeCell ref="E29:L29"/>
    <mergeCell ref="E30:L30"/>
    <mergeCell ref="E31:L31"/>
    <mergeCell ref="E32:L32"/>
    <mergeCell ref="E33:L33"/>
    <mergeCell ref="E11:L11"/>
    <mergeCell ref="E12:L12"/>
    <mergeCell ref="E13:M13"/>
    <mergeCell ref="E14:L14"/>
    <mergeCell ref="E19:L19"/>
    <mergeCell ref="E20:L20"/>
    <mergeCell ref="F49:L49"/>
    <mergeCell ref="F50:L50"/>
    <mergeCell ref="F52:L52"/>
    <mergeCell ref="F53:L53"/>
    <mergeCell ref="F55:L55"/>
    <mergeCell ref="F56:L56"/>
    <mergeCell ref="E35:L35"/>
    <mergeCell ref="E36:L36"/>
    <mergeCell ref="E37:L37"/>
    <mergeCell ref="E38:L38"/>
    <mergeCell ref="F39:L39"/>
    <mergeCell ref="E43:L43"/>
    <mergeCell ref="F73:L73"/>
    <mergeCell ref="E76:L76"/>
    <mergeCell ref="F77:L77"/>
    <mergeCell ref="F78:L78"/>
    <mergeCell ref="E81:G81"/>
    <mergeCell ref="F82:G82"/>
    <mergeCell ref="F58:L58"/>
    <mergeCell ref="E68:L68"/>
    <mergeCell ref="F69:L69"/>
    <mergeCell ref="F70:L70"/>
    <mergeCell ref="F71:L71"/>
    <mergeCell ref="F72:L72"/>
    <mergeCell ref="F111:G111"/>
    <mergeCell ref="F112:G112"/>
    <mergeCell ref="E115:G115"/>
    <mergeCell ref="F118:G118"/>
    <mergeCell ref="F119:G119"/>
    <mergeCell ref="E133:G133"/>
    <mergeCell ref="E86:G86"/>
    <mergeCell ref="F87:G87"/>
    <mergeCell ref="E101:G101"/>
    <mergeCell ref="F104:G104"/>
    <mergeCell ref="F105:G105"/>
    <mergeCell ref="E108:G108"/>
    <mergeCell ref="F150:G150"/>
    <mergeCell ref="F151:G151"/>
    <mergeCell ref="E153:L153"/>
    <mergeCell ref="E156:L156"/>
    <mergeCell ref="F158:G158"/>
    <mergeCell ref="E164:L164"/>
    <mergeCell ref="F136:G136"/>
    <mergeCell ref="F137:G137"/>
    <mergeCell ref="E140:G140"/>
    <mergeCell ref="F143:G143"/>
    <mergeCell ref="F144:G144"/>
    <mergeCell ref="E147:G147"/>
    <mergeCell ref="F186:L186"/>
    <mergeCell ref="F187:G187"/>
    <mergeCell ref="F188:G188"/>
    <mergeCell ref="E197:L197"/>
    <mergeCell ref="E241:L241"/>
    <mergeCell ref="F248:G248"/>
    <mergeCell ref="F165:L165"/>
    <mergeCell ref="F166:G166"/>
    <mergeCell ref="F167:G167"/>
    <mergeCell ref="E170:L170"/>
    <mergeCell ref="F171:L171"/>
    <mergeCell ref="E184:L184"/>
    <mergeCell ref="F327:L327"/>
    <mergeCell ref="E331:L331"/>
    <mergeCell ref="F391:L391"/>
    <mergeCell ref="E392:L392"/>
    <mergeCell ref="E395:L395"/>
    <mergeCell ref="F396:G396"/>
    <mergeCell ref="F249:G249"/>
    <mergeCell ref="E263:L263"/>
    <mergeCell ref="F264:L264"/>
    <mergeCell ref="E269:L269"/>
    <mergeCell ref="E313:L313"/>
    <mergeCell ref="F314:L314"/>
    <mergeCell ref="E464:M464"/>
    <mergeCell ref="F465:M465"/>
    <mergeCell ref="F416:G416"/>
    <mergeCell ref="E420:L420"/>
    <mergeCell ref="F421:G421"/>
    <mergeCell ref="E424:G424"/>
    <mergeCell ref="F425:G425"/>
    <mergeCell ref="E427:G427"/>
    <mergeCell ref="E399:G399"/>
    <mergeCell ref="F400:G400"/>
    <mergeCell ref="E407:G407"/>
    <mergeCell ref="F408:G408"/>
    <mergeCell ref="E414:G414"/>
    <mergeCell ref="F415:G415"/>
    <mergeCell ref="J486:Q486"/>
    <mergeCell ref="P9:P10"/>
    <mergeCell ref="O9:O10"/>
    <mergeCell ref="N9:N10"/>
    <mergeCell ref="A3:Q3"/>
    <mergeCell ref="A4:Q4"/>
    <mergeCell ref="A5:Q5"/>
    <mergeCell ref="A6:Q6"/>
    <mergeCell ref="E472:G472"/>
    <mergeCell ref="E473:G473"/>
    <mergeCell ref="E474:G474"/>
    <mergeCell ref="E475:G475"/>
    <mergeCell ref="J479:Q479"/>
    <mergeCell ref="J480:Q480"/>
    <mergeCell ref="E466:G466"/>
    <mergeCell ref="E467:G467"/>
    <mergeCell ref="E468:G468"/>
    <mergeCell ref="E469:G469"/>
    <mergeCell ref="E470:G470"/>
    <mergeCell ref="E471:G471"/>
    <mergeCell ref="E430:G430"/>
    <mergeCell ref="F431:G431"/>
    <mergeCell ref="E434:G434"/>
    <mergeCell ref="E457:G457"/>
  </mergeCells>
  <printOptions horizontalCentered="1"/>
  <pageMargins left="1" right="0.5" top="0.75" bottom="0.33" header="0.28000000000000003" footer="0.28000000000000003"/>
  <pageSetup paperSize="5" scale="95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S177"/>
  <sheetViews>
    <sheetView zoomScaleSheetLayoutView="90" workbookViewId="0">
      <selection activeCell="I8" sqref="I8:P8"/>
    </sheetView>
  </sheetViews>
  <sheetFormatPr defaultRowHeight="15"/>
  <cols>
    <col min="1" max="1" width="2.28515625" customWidth="1"/>
    <col min="2" max="4" width="3.140625" customWidth="1"/>
    <col min="5" max="5" width="1.42578125" customWidth="1"/>
    <col min="6" max="6" width="21.140625" customWidth="1"/>
    <col min="7" max="7" width="1.5703125" hidden="1" customWidth="1"/>
    <col min="8" max="8" width="2.140625" customWidth="1"/>
    <col min="9" max="9" width="5.42578125" customWidth="1"/>
    <col min="10" max="10" width="2.5703125" customWidth="1"/>
    <col min="11" max="11" width="3.140625" customWidth="1"/>
    <col min="12" max="12" width="4.28515625" customWidth="1"/>
    <col min="13" max="13" width="7.42578125" customWidth="1"/>
    <col min="14" max="14" width="7.5703125" customWidth="1"/>
    <col min="15" max="15" width="13.7109375" customWidth="1"/>
    <col min="16" max="16" width="17.42578125" customWidth="1"/>
    <col min="18" max="18" width="10.5703125" bestFit="1" customWidth="1"/>
    <col min="19" max="19" width="15.28515625" bestFit="1" customWidth="1"/>
  </cols>
  <sheetData>
    <row r="1" spans="1:19" s="247" customFormat="1" ht="18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5"/>
    </row>
    <row r="2" spans="1:19" s="247" customFormat="1" ht="18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1"/>
    </row>
    <row r="3" spans="1:19" s="249" customFormat="1" ht="15.7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1"/>
    </row>
    <row r="4" spans="1:19" s="242" customFormat="1" ht="18.75">
      <c r="A4" s="444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445"/>
    </row>
    <row r="5" spans="1:19" s="242" customFormat="1" ht="16.5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94"/>
    </row>
    <row r="6" spans="1:19" s="242" customFormat="1" ht="15" customHeight="1">
      <c r="A6" s="283" t="s">
        <v>7</v>
      </c>
      <c r="B6" s="295" t="s">
        <v>10</v>
      </c>
      <c r="C6" s="295"/>
      <c r="D6" s="295"/>
      <c r="E6" s="295"/>
      <c r="F6" s="295"/>
      <c r="G6" s="286" t="s">
        <v>12</v>
      </c>
      <c r="H6" s="286" t="s">
        <v>12</v>
      </c>
      <c r="I6" s="851" t="s">
        <v>307</v>
      </c>
      <c r="J6" s="851"/>
      <c r="K6" s="851"/>
      <c r="L6" s="851"/>
      <c r="M6" s="851"/>
      <c r="N6" s="851"/>
      <c r="O6" s="851"/>
      <c r="P6" s="852"/>
    </row>
    <row r="7" spans="1:19" s="242" customFormat="1" ht="15" customHeight="1">
      <c r="A7" s="283" t="s">
        <v>8</v>
      </c>
      <c r="B7" s="295" t="s">
        <v>11</v>
      </c>
      <c r="C7" s="295"/>
      <c r="D7" s="295"/>
      <c r="E7" s="295"/>
      <c r="F7" s="295"/>
      <c r="G7" s="286" t="s">
        <v>12</v>
      </c>
      <c r="H7" s="286" t="s">
        <v>12</v>
      </c>
      <c r="I7" s="295" t="s">
        <v>308</v>
      </c>
      <c r="J7" s="295"/>
      <c r="K7" s="295"/>
      <c r="L7" s="295"/>
      <c r="M7" s="295"/>
      <c r="N7" s="295"/>
      <c r="O7" s="295"/>
      <c r="P7" s="296"/>
    </row>
    <row r="8" spans="1:19" s="242" customFormat="1" ht="15" customHeight="1">
      <c r="A8" s="283" t="s">
        <v>9</v>
      </c>
      <c r="B8" s="295" t="s">
        <v>22</v>
      </c>
      <c r="C8" s="295"/>
      <c r="D8" s="295"/>
      <c r="E8" s="295"/>
      <c r="F8" s="295"/>
      <c r="G8" s="286" t="s">
        <v>12</v>
      </c>
      <c r="H8" s="286" t="s">
        <v>12</v>
      </c>
      <c r="I8" s="851" t="s">
        <v>76</v>
      </c>
      <c r="J8" s="851"/>
      <c r="K8" s="851"/>
      <c r="L8" s="851"/>
      <c r="M8" s="851"/>
      <c r="N8" s="851"/>
      <c r="O8" s="851"/>
      <c r="P8" s="852"/>
    </row>
    <row r="9" spans="1:19" s="242" customFormat="1" ht="15" customHeight="1">
      <c r="A9" s="297" t="s">
        <v>312</v>
      </c>
      <c r="B9" s="295" t="s">
        <v>216</v>
      </c>
      <c r="C9" s="295"/>
      <c r="D9" s="295"/>
      <c r="E9" s="295"/>
      <c r="F9" s="286"/>
      <c r="G9" s="286"/>
      <c r="H9" s="286" t="s">
        <v>12</v>
      </c>
      <c r="I9" s="298" t="s">
        <v>217</v>
      </c>
      <c r="J9" s="298"/>
      <c r="K9" s="298"/>
      <c r="L9" s="298"/>
      <c r="M9" s="298"/>
      <c r="N9" s="298"/>
      <c r="O9" s="298"/>
      <c r="P9" s="299"/>
    </row>
    <row r="10" spans="1:19" s="242" customFormat="1" ht="6" customHeight="1">
      <c r="A10" s="283"/>
      <c r="B10" s="295"/>
      <c r="C10" s="295"/>
      <c r="D10" s="295"/>
      <c r="E10" s="295"/>
      <c r="F10" s="286"/>
      <c r="G10" s="286"/>
      <c r="H10" s="286"/>
      <c r="I10" s="298"/>
      <c r="J10" s="298"/>
      <c r="K10" s="298"/>
      <c r="L10" s="298"/>
      <c r="M10" s="298"/>
      <c r="N10" s="298"/>
      <c r="O10" s="298"/>
      <c r="P10" s="299"/>
    </row>
    <row r="11" spans="1:19" s="243" customFormat="1" ht="12.75">
      <c r="A11" s="394" t="s">
        <v>221</v>
      </c>
      <c r="B11" s="430"/>
      <c r="C11" s="430"/>
      <c r="D11" s="430"/>
      <c r="E11" s="430"/>
      <c r="F11" s="397"/>
      <c r="G11" s="382"/>
      <c r="H11" s="382" t="s">
        <v>12</v>
      </c>
      <c r="I11" s="397"/>
      <c r="J11" s="397"/>
      <c r="K11" s="397"/>
      <c r="L11" s="397"/>
      <c r="M11" s="397"/>
      <c r="N11" s="397"/>
      <c r="O11" s="397"/>
      <c r="P11" s="398"/>
    </row>
    <row r="12" spans="1:19" s="242" customFormat="1" ht="4.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5"/>
    </row>
    <row r="13" spans="1:19" s="243" customFormat="1" ht="15.75" customHeight="1">
      <c r="A13" s="775" t="s">
        <v>0</v>
      </c>
      <c r="B13" s="776"/>
      <c r="C13" s="776"/>
      <c r="D13" s="777"/>
      <c r="E13" s="775" t="s">
        <v>1</v>
      </c>
      <c r="F13" s="776"/>
      <c r="G13" s="776"/>
      <c r="H13" s="776"/>
      <c r="I13" s="776"/>
      <c r="J13" s="776"/>
      <c r="K13" s="776"/>
      <c r="L13" s="777"/>
      <c r="M13" s="780" t="s">
        <v>2</v>
      </c>
      <c r="N13" s="780" t="s">
        <v>47</v>
      </c>
      <c r="O13" s="290" t="s">
        <v>4</v>
      </c>
      <c r="P13" s="780" t="s">
        <v>3</v>
      </c>
    </row>
    <row r="14" spans="1:19" s="243" customFormat="1" ht="12.75">
      <c r="A14" s="863"/>
      <c r="B14" s="778"/>
      <c r="C14" s="778"/>
      <c r="D14" s="779"/>
      <c r="E14" s="863"/>
      <c r="F14" s="778"/>
      <c r="G14" s="778"/>
      <c r="H14" s="778"/>
      <c r="I14" s="778"/>
      <c r="J14" s="778"/>
      <c r="K14" s="778"/>
      <c r="L14" s="779"/>
      <c r="M14" s="781"/>
      <c r="N14" s="781"/>
      <c r="O14" s="291" t="s">
        <v>5</v>
      </c>
      <c r="P14" s="781"/>
    </row>
    <row r="15" spans="1:19" s="237" customFormat="1" ht="15.75" customHeight="1">
      <c r="A15" s="864">
        <v>1</v>
      </c>
      <c r="B15" s="865"/>
      <c r="C15" s="865"/>
      <c r="D15" s="866"/>
      <c r="E15" s="864">
        <v>2</v>
      </c>
      <c r="F15" s="865"/>
      <c r="G15" s="865"/>
      <c r="H15" s="865"/>
      <c r="I15" s="865"/>
      <c r="J15" s="865"/>
      <c r="K15" s="865"/>
      <c r="L15" s="866"/>
      <c r="M15" s="239">
        <v>3</v>
      </c>
      <c r="N15" s="239"/>
      <c r="O15" s="239">
        <v>4</v>
      </c>
      <c r="P15" s="239">
        <v>5</v>
      </c>
    </row>
    <row r="16" spans="1:19" s="242" customFormat="1" ht="15" customHeight="1">
      <c r="A16" s="252">
        <v>2</v>
      </c>
      <c r="B16" s="253">
        <v>1</v>
      </c>
      <c r="C16" s="253">
        <v>5</v>
      </c>
      <c r="D16" s="253">
        <v>2</v>
      </c>
      <c r="E16" s="432" t="s">
        <v>14</v>
      </c>
      <c r="F16" s="378" t="s">
        <v>48</v>
      </c>
      <c r="G16" s="379"/>
      <c r="H16" s="379"/>
      <c r="I16" s="379"/>
      <c r="J16" s="379"/>
      <c r="K16" s="379"/>
      <c r="L16" s="433"/>
      <c r="M16" s="256"/>
      <c r="N16" s="256"/>
      <c r="O16" s="256"/>
      <c r="P16" s="308">
        <f>P17</f>
        <v>10913649</v>
      </c>
      <c r="S16" s="271">
        <v>10913649</v>
      </c>
    </row>
    <row r="17" spans="1:19" s="242" customFormat="1" ht="15" customHeight="1">
      <c r="A17" s="407"/>
      <c r="B17" s="408"/>
      <c r="C17" s="408"/>
      <c r="D17" s="408"/>
      <c r="E17" s="407"/>
      <c r="F17" s="443" t="s">
        <v>568</v>
      </c>
      <c r="G17" s="309"/>
      <c r="H17" s="415"/>
      <c r="I17" s="415"/>
      <c r="J17" s="415"/>
      <c r="K17" s="415"/>
      <c r="L17" s="416"/>
      <c r="M17" s="408">
        <v>1</v>
      </c>
      <c r="N17" s="408" t="s">
        <v>445</v>
      </c>
      <c r="O17" s="417">
        <v>10913649</v>
      </c>
      <c r="P17" s="417">
        <f>M17*O17</f>
        <v>10913649</v>
      </c>
      <c r="R17" s="311"/>
    </row>
    <row r="18" spans="1:19" s="242" customFormat="1" ht="15" customHeight="1">
      <c r="A18" s="407"/>
      <c r="B18" s="408"/>
      <c r="C18" s="408"/>
      <c r="D18" s="408"/>
      <c r="E18" s="407"/>
      <c r="F18" s="309"/>
      <c r="G18" s="309"/>
      <c r="H18" s="415"/>
      <c r="I18" s="415"/>
      <c r="J18" s="415"/>
      <c r="K18" s="415"/>
      <c r="L18" s="416"/>
      <c r="M18" s="408"/>
      <c r="N18" s="408"/>
      <c r="O18" s="417"/>
      <c r="P18" s="417"/>
      <c r="R18" s="311"/>
      <c r="S18" s="282" t="e">
        <f>#REF!-#REF!</f>
        <v>#REF!</v>
      </c>
    </row>
    <row r="19" spans="1:19" s="242" customFormat="1" ht="15" customHeight="1">
      <c r="A19" s="306"/>
      <c r="B19" s="307"/>
      <c r="C19" s="307"/>
      <c r="D19" s="307"/>
      <c r="E19" s="435"/>
      <c r="F19" s="436"/>
      <c r="G19" s="309"/>
      <c r="H19" s="415"/>
      <c r="I19" s="415"/>
      <c r="J19" s="415"/>
      <c r="K19" s="415"/>
      <c r="L19" s="416"/>
      <c r="M19" s="408"/>
      <c r="N19" s="408"/>
      <c r="O19" s="417"/>
      <c r="P19" s="434"/>
      <c r="R19" s="311"/>
    </row>
    <row r="20" spans="1:19" s="242" customFormat="1" ht="15" customHeight="1">
      <c r="A20" s="437"/>
      <c r="B20" s="438"/>
      <c r="C20" s="438"/>
      <c r="D20" s="438"/>
      <c r="E20" s="437"/>
      <c r="F20" s="376"/>
      <c r="G20" s="376"/>
      <c r="H20" s="376"/>
      <c r="I20" s="376"/>
      <c r="J20" s="439"/>
      <c r="K20" s="439"/>
      <c r="L20" s="440"/>
      <c r="M20" s="438"/>
      <c r="N20" s="438"/>
      <c r="O20" s="441"/>
      <c r="P20" s="441"/>
    </row>
    <row r="21" spans="1:19" s="242" customFormat="1" ht="15" customHeight="1">
      <c r="A21" s="425"/>
      <c r="B21" s="426"/>
      <c r="C21" s="426"/>
      <c r="D21" s="426"/>
      <c r="E21" s="760" t="s">
        <v>163</v>
      </c>
      <c r="F21" s="761"/>
      <c r="G21" s="761"/>
      <c r="H21" s="761"/>
      <c r="I21" s="761"/>
      <c r="J21" s="761"/>
      <c r="K21" s="761"/>
      <c r="L21" s="764"/>
      <c r="M21" s="442"/>
      <c r="N21" s="442"/>
      <c r="O21" s="442"/>
      <c r="P21" s="429">
        <f>SUM(P16)</f>
        <v>10913649</v>
      </c>
    </row>
    <row r="22" spans="1:19" s="242" customFormat="1" ht="15.75" customHeight="1">
      <c r="A22" s="351"/>
      <c r="B22" s="286"/>
      <c r="C22" s="286"/>
      <c r="D22" s="286"/>
      <c r="E22" s="268"/>
      <c r="F22" s="268"/>
      <c r="G22" s="268"/>
      <c r="H22" s="268"/>
      <c r="I22" s="268"/>
      <c r="J22" s="268"/>
      <c r="K22" s="268"/>
      <c r="L22" s="268"/>
      <c r="M22" s="284"/>
      <c r="N22" s="284"/>
      <c r="O22" s="284"/>
      <c r="P22" s="353"/>
    </row>
    <row r="23" spans="1:19" s="242" customFormat="1" ht="15.75" customHeight="1">
      <c r="A23" s="351"/>
      <c r="B23" s="286"/>
      <c r="C23" s="286"/>
      <c r="D23" s="286"/>
      <c r="E23" s="268"/>
      <c r="F23" s="268"/>
      <c r="G23" s="268"/>
      <c r="H23" s="268"/>
      <c r="I23" s="268"/>
      <c r="J23" s="268"/>
      <c r="K23" s="268"/>
      <c r="L23" s="268"/>
      <c r="M23" s="284"/>
      <c r="N23" s="284"/>
      <c r="O23" s="284"/>
      <c r="P23" s="353"/>
    </row>
    <row r="24" spans="1:19" s="242" customFormat="1" ht="16.5">
      <c r="A24" s="283"/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 t="s">
        <v>553</v>
      </c>
      <c r="P24" s="285"/>
    </row>
    <row r="25" spans="1:19" s="242" customFormat="1" ht="16.5">
      <c r="A25" s="283"/>
      <c r="B25" s="284"/>
      <c r="C25" s="284"/>
      <c r="D25" s="284"/>
      <c r="E25" s="284"/>
      <c r="F25" s="286" t="s">
        <v>168</v>
      </c>
      <c r="G25" s="284"/>
      <c r="H25" s="284"/>
      <c r="I25" s="284"/>
      <c r="J25" s="284"/>
      <c r="K25" s="284"/>
      <c r="L25" s="284"/>
      <c r="M25" s="284"/>
      <c r="N25" s="284"/>
      <c r="O25" s="298" t="s">
        <v>193</v>
      </c>
      <c r="P25" s="285"/>
    </row>
    <row r="26" spans="1:19" s="242" customFormat="1" ht="16.5">
      <c r="A26" s="283"/>
      <c r="B26" s="284"/>
      <c r="C26" s="284"/>
      <c r="D26" s="284"/>
      <c r="E26" s="284"/>
      <c r="F26" s="286" t="s">
        <v>41</v>
      </c>
      <c r="G26" s="284"/>
      <c r="H26" s="284"/>
      <c r="I26" s="284"/>
      <c r="J26" s="284"/>
      <c r="K26" s="284"/>
      <c r="L26" s="284"/>
      <c r="M26" s="284"/>
      <c r="N26" s="284"/>
      <c r="O26" s="284"/>
      <c r="P26" s="285"/>
    </row>
    <row r="27" spans="1:19" s="242" customFormat="1" ht="16.5">
      <c r="A27" s="283"/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5"/>
    </row>
    <row r="28" spans="1:19" s="242" customFormat="1" ht="16.5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5"/>
    </row>
    <row r="29" spans="1:19" s="242" customFormat="1" ht="16.5">
      <c r="A29" s="283"/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5"/>
    </row>
    <row r="30" spans="1:19" s="242" customFormat="1" ht="16.5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5"/>
    </row>
    <row r="31" spans="1:19" s="242" customFormat="1" ht="16.5">
      <c r="A31" s="283"/>
      <c r="B31" s="284"/>
      <c r="C31" s="284"/>
      <c r="D31" s="284"/>
      <c r="E31" s="284"/>
      <c r="F31" s="303" t="s">
        <v>306</v>
      </c>
      <c r="G31" s="284"/>
      <c r="H31" s="284"/>
      <c r="I31" s="284"/>
      <c r="J31" s="284"/>
      <c r="K31" s="284"/>
      <c r="L31" s="284"/>
      <c r="M31" s="284"/>
      <c r="N31" s="284"/>
      <c r="O31" s="381" t="s">
        <v>551</v>
      </c>
      <c r="P31" s="285"/>
    </row>
    <row r="32" spans="1:19" s="242" customFormat="1" ht="16.5">
      <c r="A32" s="287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9"/>
    </row>
    <row r="33" s="242" customFormat="1" ht="16.5"/>
    <row r="34" s="242" customFormat="1" ht="16.5"/>
    <row r="35" s="242" customFormat="1" ht="16.5"/>
    <row r="36" s="242" customFormat="1" ht="16.5"/>
    <row r="37" s="242" customFormat="1" ht="16.5"/>
    <row r="38" s="242" customFormat="1" ht="16.5"/>
    <row r="39" s="242" customFormat="1" ht="16.5"/>
    <row r="40" s="242" customFormat="1" ht="16.5"/>
    <row r="41" s="242" customFormat="1" ht="16.5"/>
    <row r="42" s="242" customFormat="1" ht="16.5"/>
    <row r="43" s="242" customFormat="1" ht="16.5"/>
    <row r="44" s="242" customFormat="1" ht="16.5"/>
    <row r="45" s="242" customFormat="1" ht="16.5"/>
    <row r="46" s="242" customFormat="1" ht="16.5"/>
    <row r="47" s="242" customFormat="1" ht="16.5"/>
    <row r="48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</sheetData>
  <mergeCells count="13">
    <mergeCell ref="E21:L21"/>
    <mergeCell ref="A15:D15"/>
    <mergeCell ref="E15:L15"/>
    <mergeCell ref="A1:P1"/>
    <mergeCell ref="A2:P2"/>
    <mergeCell ref="A3:P3"/>
    <mergeCell ref="I6:P6"/>
    <mergeCell ref="I8:P8"/>
    <mergeCell ref="A13:D14"/>
    <mergeCell ref="E13:L14"/>
    <mergeCell ref="M13:M14"/>
    <mergeCell ref="N13:N14"/>
    <mergeCell ref="P13:P14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W133"/>
  <sheetViews>
    <sheetView topLeftCell="C1" zoomScaleSheetLayoutView="100" workbookViewId="0">
      <selection activeCell="C1" sqref="C1:S1"/>
    </sheetView>
  </sheetViews>
  <sheetFormatPr defaultRowHeight="15"/>
  <cols>
    <col min="1" max="2" width="0" hidden="1" customWidth="1"/>
    <col min="3" max="3" width="2" customWidth="1"/>
    <col min="4" max="4" width="0.7109375" customWidth="1"/>
    <col min="5" max="7" width="2.85546875" customWidth="1"/>
    <col min="8" max="8" width="1.42578125" customWidth="1"/>
    <col min="9" max="9" width="18.85546875" customWidth="1"/>
    <col min="10" max="10" width="1.5703125" hidden="1" customWidth="1"/>
    <col min="11" max="11" width="2.28515625" customWidth="1"/>
    <col min="12" max="14" width="3.85546875" customWidth="1"/>
    <col min="15" max="15" width="3.140625" customWidth="1"/>
    <col min="16" max="16" width="7.7109375" customWidth="1"/>
    <col min="17" max="17" width="7" customWidth="1"/>
    <col min="18" max="18" width="13.28515625" customWidth="1"/>
    <col min="19" max="19" width="15.85546875" customWidth="1"/>
    <col min="21" max="21" width="16.5703125" bestFit="1" customWidth="1"/>
    <col min="22" max="22" width="10" bestFit="1" customWidth="1"/>
    <col min="23" max="23" width="12.85546875" bestFit="1" customWidth="1"/>
  </cols>
  <sheetData>
    <row r="1" spans="3:19" s="247" customFormat="1" ht="18">
      <c r="C1" s="853" t="s">
        <v>6</v>
      </c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5"/>
    </row>
    <row r="2" spans="3:19" s="247" customFormat="1" ht="18">
      <c r="C2" s="869" t="s">
        <v>292</v>
      </c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0"/>
      <c r="R2" s="870"/>
      <c r="S2" s="871"/>
    </row>
    <row r="3" spans="3:19" s="242" customFormat="1" ht="16.5">
      <c r="C3" s="859" t="s">
        <v>211</v>
      </c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1"/>
    </row>
    <row r="4" spans="3:19" s="242" customFormat="1" ht="16.5">
      <c r="C4" s="431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456"/>
    </row>
    <row r="5" spans="3:19" s="242" customFormat="1" ht="16.5">
      <c r="C5" s="283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94"/>
    </row>
    <row r="6" spans="3:19" s="242" customFormat="1" ht="16.5">
      <c r="C6" s="283" t="s">
        <v>7</v>
      </c>
      <c r="D6" s="295" t="s">
        <v>10</v>
      </c>
      <c r="E6" s="295"/>
      <c r="F6" s="295"/>
      <c r="G6" s="295"/>
      <c r="H6" s="295"/>
      <c r="I6" s="286"/>
      <c r="J6" s="286" t="s">
        <v>12</v>
      </c>
      <c r="K6" s="286" t="s">
        <v>12</v>
      </c>
      <c r="L6" s="851" t="s">
        <v>302</v>
      </c>
      <c r="M6" s="851"/>
      <c r="N6" s="851"/>
      <c r="O6" s="851"/>
      <c r="P6" s="851"/>
      <c r="Q6" s="851"/>
      <c r="R6" s="851"/>
      <c r="S6" s="852"/>
    </row>
    <row r="7" spans="3:19" s="242" customFormat="1" ht="16.5">
      <c r="C7" s="283" t="s">
        <v>8</v>
      </c>
      <c r="D7" s="295" t="s">
        <v>11</v>
      </c>
      <c r="E7" s="295"/>
      <c r="F7" s="295"/>
      <c r="G7" s="295"/>
      <c r="H7" s="295"/>
      <c r="I7" s="286"/>
      <c r="J7" s="286" t="s">
        <v>12</v>
      </c>
      <c r="K7" s="286" t="s">
        <v>12</v>
      </c>
      <c r="L7" s="295" t="s">
        <v>426</v>
      </c>
      <c r="M7" s="295"/>
      <c r="N7" s="295"/>
      <c r="O7" s="295"/>
      <c r="P7" s="295"/>
      <c r="Q7" s="295"/>
      <c r="R7" s="295"/>
      <c r="S7" s="296"/>
    </row>
    <row r="8" spans="3:19" s="242" customFormat="1" ht="16.5">
      <c r="C8" s="283" t="s">
        <v>9</v>
      </c>
      <c r="D8" s="295" t="s">
        <v>22</v>
      </c>
      <c r="E8" s="295"/>
      <c r="F8" s="295"/>
      <c r="G8" s="295"/>
      <c r="H8" s="295"/>
      <c r="I8" s="286"/>
      <c r="J8" s="286" t="s">
        <v>12</v>
      </c>
      <c r="K8" s="286" t="s">
        <v>12</v>
      </c>
      <c r="L8" s="851" t="s">
        <v>76</v>
      </c>
      <c r="M8" s="851"/>
      <c r="N8" s="851"/>
      <c r="O8" s="851"/>
      <c r="P8" s="851"/>
      <c r="Q8" s="851"/>
      <c r="R8" s="851"/>
      <c r="S8" s="852"/>
    </row>
    <row r="9" spans="3:19" s="242" customFormat="1" ht="16.5">
      <c r="C9" s="297" t="s">
        <v>219</v>
      </c>
      <c r="D9" s="295" t="s">
        <v>216</v>
      </c>
      <c r="E9" s="295"/>
      <c r="F9" s="295"/>
      <c r="G9" s="295"/>
      <c r="H9" s="295"/>
      <c r="I9" s="286"/>
      <c r="J9" s="286"/>
      <c r="K9" s="286" t="s">
        <v>12</v>
      </c>
      <c r="L9" s="298" t="s">
        <v>288</v>
      </c>
      <c r="M9" s="298"/>
      <c r="N9" s="298"/>
      <c r="O9" s="298"/>
      <c r="P9" s="298"/>
      <c r="Q9" s="298"/>
      <c r="R9" s="298"/>
      <c r="S9" s="299"/>
    </row>
    <row r="10" spans="3:19" s="242" customFormat="1" ht="5.25" customHeight="1">
      <c r="C10" s="297"/>
      <c r="D10" s="295"/>
      <c r="E10" s="295"/>
      <c r="F10" s="295"/>
      <c r="G10" s="295"/>
      <c r="H10" s="295"/>
      <c r="I10" s="286"/>
      <c r="J10" s="286"/>
      <c r="K10" s="286"/>
      <c r="L10" s="298"/>
      <c r="M10" s="298"/>
      <c r="N10" s="298"/>
      <c r="O10" s="298"/>
      <c r="P10" s="298"/>
      <c r="Q10" s="298"/>
      <c r="R10" s="298"/>
      <c r="S10" s="299"/>
    </row>
    <row r="11" spans="3:19" s="243" customFormat="1" ht="12.75">
      <c r="C11" s="457" t="s">
        <v>221</v>
      </c>
      <c r="D11" s="430"/>
      <c r="E11" s="430"/>
      <c r="F11" s="430"/>
      <c r="G11" s="430"/>
      <c r="H11" s="430"/>
      <c r="I11" s="382"/>
      <c r="J11" s="382"/>
      <c r="K11" s="382"/>
      <c r="L11" s="397"/>
      <c r="M11" s="397"/>
      <c r="N11" s="397"/>
      <c r="O11" s="397"/>
      <c r="P11" s="397"/>
      <c r="Q11" s="397"/>
      <c r="R11" s="397"/>
      <c r="S11" s="398"/>
    </row>
    <row r="12" spans="3:19" s="242" customFormat="1" ht="4.5" customHeight="1">
      <c r="C12" s="283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5"/>
    </row>
    <row r="13" spans="3:19" s="243" customFormat="1" ht="12.75">
      <c r="C13" s="775" t="s">
        <v>0</v>
      </c>
      <c r="D13" s="776"/>
      <c r="E13" s="776"/>
      <c r="F13" s="776"/>
      <c r="G13" s="777"/>
      <c r="H13" s="775" t="s">
        <v>1</v>
      </c>
      <c r="I13" s="776"/>
      <c r="J13" s="776"/>
      <c r="K13" s="776"/>
      <c r="L13" s="776"/>
      <c r="M13" s="776"/>
      <c r="N13" s="776"/>
      <c r="O13" s="777"/>
      <c r="P13" s="780" t="s">
        <v>2</v>
      </c>
      <c r="Q13" s="780" t="s">
        <v>47</v>
      </c>
      <c r="R13" s="290" t="s">
        <v>4</v>
      </c>
      <c r="S13" s="780" t="s">
        <v>3</v>
      </c>
    </row>
    <row r="14" spans="3:19" s="243" customFormat="1" ht="16.5" customHeight="1">
      <c r="C14" s="863"/>
      <c r="D14" s="778"/>
      <c r="E14" s="778"/>
      <c r="F14" s="778"/>
      <c r="G14" s="779"/>
      <c r="H14" s="863"/>
      <c r="I14" s="778"/>
      <c r="J14" s="778"/>
      <c r="K14" s="778"/>
      <c r="L14" s="778"/>
      <c r="M14" s="778"/>
      <c r="N14" s="778"/>
      <c r="O14" s="779"/>
      <c r="P14" s="781"/>
      <c r="Q14" s="781"/>
      <c r="R14" s="291" t="s">
        <v>5</v>
      </c>
      <c r="S14" s="781"/>
    </row>
    <row r="15" spans="3:19" s="237" customFormat="1" ht="13.5">
      <c r="C15" s="864">
        <v>1</v>
      </c>
      <c r="D15" s="865"/>
      <c r="E15" s="865"/>
      <c r="F15" s="865"/>
      <c r="G15" s="866"/>
      <c r="H15" s="238"/>
      <c r="I15" s="240">
        <v>2</v>
      </c>
      <c r="J15" s="240"/>
      <c r="K15" s="240"/>
      <c r="L15" s="240"/>
      <c r="M15" s="240"/>
      <c r="N15" s="240"/>
      <c r="O15" s="241"/>
      <c r="P15" s="239">
        <v>3</v>
      </c>
      <c r="Q15" s="239"/>
      <c r="R15" s="239">
        <v>4</v>
      </c>
      <c r="S15" s="239">
        <v>5</v>
      </c>
    </row>
    <row r="16" spans="3:19" s="242" customFormat="1" ht="15.75" customHeight="1">
      <c r="C16" s="876">
        <v>2</v>
      </c>
      <c r="D16" s="876"/>
      <c r="E16" s="253">
        <v>1</v>
      </c>
      <c r="F16" s="253">
        <v>8</v>
      </c>
      <c r="G16" s="253">
        <v>2</v>
      </c>
      <c r="H16" s="432" t="s">
        <v>14</v>
      </c>
      <c r="I16" s="385" t="s">
        <v>29</v>
      </c>
      <c r="J16" s="385"/>
      <c r="K16" s="385"/>
      <c r="L16" s="254"/>
      <c r="M16" s="379"/>
      <c r="N16" s="379"/>
      <c r="O16" s="433"/>
      <c r="P16" s="256"/>
      <c r="Q16" s="256"/>
      <c r="R16" s="256"/>
      <c r="S16" s="308">
        <f>SUM(S17+S21+S25)</f>
        <v>11198000</v>
      </c>
    </row>
    <row r="17" spans="3:23" s="242" customFormat="1" ht="15.75" customHeight="1">
      <c r="C17" s="875"/>
      <c r="D17" s="875"/>
      <c r="E17" s="258"/>
      <c r="F17" s="258"/>
      <c r="G17" s="258"/>
      <c r="H17" s="447" t="s">
        <v>14</v>
      </c>
      <c r="I17" s="260" t="s">
        <v>427</v>
      </c>
      <c r="J17" s="260"/>
      <c r="K17" s="265"/>
      <c r="L17" s="265"/>
      <c r="M17" s="265"/>
      <c r="N17" s="265"/>
      <c r="O17" s="266"/>
      <c r="P17" s="258"/>
      <c r="Q17" s="258"/>
      <c r="R17" s="267"/>
      <c r="S17" s="320">
        <f>SUM(S18:S20)</f>
        <v>8000000</v>
      </c>
      <c r="U17" s="311"/>
    </row>
    <row r="18" spans="3:23" s="242" customFormat="1" ht="15.75" customHeight="1">
      <c r="C18" s="875"/>
      <c r="D18" s="875"/>
      <c r="E18" s="258"/>
      <c r="F18" s="258"/>
      <c r="G18" s="258"/>
      <c r="H18" s="257"/>
      <c r="I18" s="321" t="s">
        <v>429</v>
      </c>
      <c r="J18" s="260"/>
      <c r="K18" s="265"/>
      <c r="L18" s="265"/>
      <c r="M18" s="265"/>
      <c r="N18" s="265"/>
      <c r="O18" s="266"/>
      <c r="P18" s="258">
        <v>1000</v>
      </c>
      <c r="Q18" s="258" t="s">
        <v>428</v>
      </c>
      <c r="R18" s="267">
        <v>5000</v>
      </c>
      <c r="S18" s="267">
        <f>P18*R18</f>
        <v>5000000</v>
      </c>
      <c r="U18" s="311"/>
    </row>
    <row r="19" spans="3:23" s="242" customFormat="1" ht="15.75" customHeight="1">
      <c r="C19" s="873"/>
      <c r="D19" s="874"/>
      <c r="E19" s="258"/>
      <c r="F19" s="258"/>
      <c r="G19" s="258"/>
      <c r="H19" s="257"/>
      <c r="I19" s="321" t="s">
        <v>446</v>
      </c>
      <c r="J19" s="260"/>
      <c r="K19" s="265"/>
      <c r="L19" s="265"/>
      <c r="M19" s="265"/>
      <c r="N19" s="265"/>
      <c r="O19" s="266"/>
      <c r="P19" s="258">
        <v>1000</v>
      </c>
      <c r="Q19" s="258" t="s">
        <v>428</v>
      </c>
      <c r="R19" s="267">
        <v>3000</v>
      </c>
      <c r="S19" s="267">
        <f>P19*R19</f>
        <v>3000000</v>
      </c>
      <c r="U19" s="311">
        <f>1000*10</f>
        <v>10000</v>
      </c>
    </row>
    <row r="20" spans="3:23" s="242" customFormat="1" ht="6.75" customHeight="1">
      <c r="C20" s="875"/>
      <c r="D20" s="875"/>
      <c r="E20" s="258"/>
      <c r="F20" s="258"/>
      <c r="G20" s="258"/>
      <c r="H20" s="257"/>
      <c r="I20" s="260"/>
      <c r="J20" s="260"/>
      <c r="K20" s="265"/>
      <c r="L20" s="265"/>
      <c r="M20" s="265"/>
      <c r="N20" s="265"/>
      <c r="O20" s="266"/>
      <c r="P20" s="258"/>
      <c r="Q20" s="258"/>
      <c r="R20" s="267"/>
      <c r="S20" s="267"/>
      <c r="U20" s="311"/>
    </row>
    <row r="21" spans="3:23" s="242" customFormat="1" ht="15.75" customHeight="1">
      <c r="C21" s="873"/>
      <c r="D21" s="874"/>
      <c r="E21" s="258"/>
      <c r="F21" s="258"/>
      <c r="G21" s="258"/>
      <c r="H21" s="447" t="s">
        <v>14</v>
      </c>
      <c r="I21" s="260" t="s">
        <v>430</v>
      </c>
      <c r="J21" s="260"/>
      <c r="K21" s="265"/>
      <c r="L21" s="265"/>
      <c r="M21" s="265"/>
      <c r="N21" s="265"/>
      <c r="O21" s="266"/>
      <c r="P21" s="258"/>
      <c r="Q21" s="258"/>
      <c r="R21" s="267"/>
      <c r="S21" s="320">
        <f>SUM(S22:S23)</f>
        <v>48000</v>
      </c>
    </row>
    <row r="22" spans="3:23" s="242" customFormat="1" ht="15.75" customHeight="1">
      <c r="C22" s="873"/>
      <c r="D22" s="874"/>
      <c r="E22" s="258"/>
      <c r="F22" s="258"/>
      <c r="G22" s="258"/>
      <c r="H22" s="257"/>
      <c r="I22" s="321" t="s">
        <v>431</v>
      </c>
      <c r="J22" s="260"/>
      <c r="K22" s="265"/>
      <c r="L22" s="265"/>
      <c r="M22" s="265"/>
      <c r="N22" s="265"/>
      <c r="O22" s="266"/>
      <c r="P22" s="258">
        <v>8</v>
      </c>
      <c r="Q22" s="258" t="s">
        <v>55</v>
      </c>
      <c r="R22" s="267">
        <v>4000</v>
      </c>
      <c r="S22" s="267">
        <f>P22*R22</f>
        <v>32000</v>
      </c>
      <c r="U22" s="271">
        <f>U20/P18</f>
        <v>0</v>
      </c>
    </row>
    <row r="23" spans="3:23" s="242" customFormat="1" ht="15.75" customHeight="1">
      <c r="C23" s="873"/>
      <c r="D23" s="874"/>
      <c r="E23" s="258"/>
      <c r="F23" s="258"/>
      <c r="G23" s="258"/>
      <c r="H23" s="257"/>
      <c r="I23" s="321" t="s">
        <v>432</v>
      </c>
      <c r="J23" s="260"/>
      <c r="K23" s="265"/>
      <c r="L23" s="265"/>
      <c r="M23" s="265"/>
      <c r="N23" s="265"/>
      <c r="O23" s="266"/>
      <c r="P23" s="258">
        <v>8</v>
      </c>
      <c r="Q23" s="258" t="s">
        <v>55</v>
      </c>
      <c r="R23" s="267">
        <v>2000</v>
      </c>
      <c r="S23" s="267">
        <f>P23*R23</f>
        <v>16000</v>
      </c>
    </row>
    <row r="24" spans="3:23" s="242" customFormat="1" ht="6.75" customHeight="1">
      <c r="C24" s="257"/>
      <c r="D24" s="266"/>
      <c r="E24" s="258"/>
      <c r="F24" s="258"/>
      <c r="G24" s="258"/>
      <c r="H24" s="257"/>
      <c r="I24" s="321"/>
      <c r="J24" s="260"/>
      <c r="K24" s="265"/>
      <c r="L24" s="265"/>
      <c r="M24" s="265"/>
      <c r="N24" s="265"/>
      <c r="O24" s="266"/>
      <c r="P24" s="258"/>
      <c r="Q24" s="258"/>
      <c r="R24" s="267"/>
      <c r="S24" s="267"/>
    </row>
    <row r="25" spans="3:23" s="242" customFormat="1" ht="15.75" customHeight="1">
      <c r="C25" s="257"/>
      <c r="D25" s="266"/>
      <c r="E25" s="258"/>
      <c r="F25" s="258"/>
      <c r="G25" s="258"/>
      <c r="H25" s="447" t="s">
        <v>14</v>
      </c>
      <c r="I25" s="260" t="s">
        <v>68</v>
      </c>
      <c r="J25" s="260"/>
      <c r="K25" s="265"/>
      <c r="L25" s="265"/>
      <c r="M25" s="265"/>
      <c r="N25" s="265"/>
      <c r="O25" s="266"/>
      <c r="P25" s="258"/>
      <c r="Q25" s="258"/>
      <c r="R25" s="267"/>
      <c r="S25" s="320">
        <f>S26</f>
        <v>3150000</v>
      </c>
    </row>
    <row r="26" spans="3:23" s="242" customFormat="1" ht="15.75" customHeight="1">
      <c r="C26" s="257"/>
      <c r="D26" s="266"/>
      <c r="E26" s="258"/>
      <c r="F26" s="258"/>
      <c r="G26" s="258"/>
      <c r="H26" s="257"/>
      <c r="I26" s="260" t="s">
        <v>69</v>
      </c>
      <c r="J26" s="260"/>
      <c r="K26" s="265"/>
      <c r="L26" s="265"/>
      <c r="M26" s="265"/>
      <c r="N26" s="265"/>
      <c r="O26" s="266"/>
      <c r="P26" s="258">
        <v>10500</v>
      </c>
      <c r="Q26" s="258" t="s">
        <v>297</v>
      </c>
      <c r="R26" s="267">
        <v>300</v>
      </c>
      <c r="S26" s="267">
        <f>P26*R26</f>
        <v>3150000</v>
      </c>
      <c r="W26" s="271"/>
    </row>
    <row r="27" spans="3:23" s="242" customFormat="1" ht="15.75" customHeight="1">
      <c r="C27" s="257"/>
      <c r="D27" s="266"/>
      <c r="E27" s="258"/>
      <c r="F27" s="258"/>
      <c r="G27" s="258"/>
      <c r="H27" s="257"/>
      <c r="I27" s="260"/>
      <c r="J27" s="260"/>
      <c r="K27" s="265"/>
      <c r="L27" s="265"/>
      <c r="M27" s="265"/>
      <c r="N27" s="265"/>
      <c r="O27" s="266"/>
      <c r="P27" s="258"/>
      <c r="Q27" s="258"/>
      <c r="R27" s="267"/>
      <c r="S27" s="267"/>
      <c r="W27" s="271"/>
    </row>
    <row r="28" spans="3:23" s="242" customFormat="1" ht="15.75" customHeight="1">
      <c r="C28" s="873">
        <v>2</v>
      </c>
      <c r="D28" s="874"/>
      <c r="E28" s="258">
        <v>1</v>
      </c>
      <c r="F28" s="258">
        <v>8</v>
      </c>
      <c r="G28" s="258">
        <v>3</v>
      </c>
      <c r="H28" s="448" t="s">
        <v>14</v>
      </c>
      <c r="I28" s="261" t="s">
        <v>60</v>
      </c>
      <c r="J28" s="260"/>
      <c r="K28" s="265"/>
      <c r="L28" s="265"/>
      <c r="M28" s="265"/>
      <c r="N28" s="265"/>
      <c r="O28" s="266"/>
      <c r="P28" s="258"/>
      <c r="Q28" s="258"/>
      <c r="R28" s="267"/>
      <c r="S28" s="320">
        <f>S29</f>
        <v>416574</v>
      </c>
      <c r="W28" s="271"/>
    </row>
    <row r="29" spans="3:23" s="242" customFormat="1" ht="15.75" customHeight="1">
      <c r="C29" s="875"/>
      <c r="D29" s="875"/>
      <c r="E29" s="258"/>
      <c r="F29" s="258"/>
      <c r="G29" s="258"/>
      <c r="H29" s="257"/>
      <c r="I29" s="321" t="s">
        <v>434</v>
      </c>
      <c r="J29" s="260"/>
      <c r="K29" s="265"/>
      <c r="L29" s="265"/>
      <c r="M29" s="265"/>
      <c r="N29" s="265"/>
      <c r="O29" s="266"/>
      <c r="P29" s="258">
        <v>1</v>
      </c>
      <c r="Q29" s="258" t="s">
        <v>435</v>
      </c>
      <c r="R29" s="267">
        <v>416574</v>
      </c>
      <c r="S29" s="267">
        <f>R29</f>
        <v>416574</v>
      </c>
      <c r="U29" s="311">
        <f>417074-500</f>
        <v>416574</v>
      </c>
      <c r="W29" s="282"/>
    </row>
    <row r="30" spans="3:23" s="242" customFormat="1" ht="15.75" customHeight="1">
      <c r="C30" s="875"/>
      <c r="D30" s="875"/>
      <c r="E30" s="335"/>
      <c r="F30" s="335"/>
      <c r="G30" s="335"/>
      <c r="H30" s="334"/>
      <c r="I30" s="337"/>
      <c r="J30" s="337"/>
      <c r="K30" s="338"/>
      <c r="L30" s="338"/>
      <c r="M30" s="338"/>
      <c r="N30" s="338"/>
      <c r="O30" s="339"/>
      <c r="P30" s="335"/>
      <c r="Q30" s="335"/>
      <c r="R30" s="340"/>
      <c r="S30" s="340"/>
      <c r="W30" s="282"/>
    </row>
    <row r="31" spans="3:23" s="242" customFormat="1" ht="15" customHeight="1">
      <c r="C31" s="872"/>
      <c r="D31" s="872"/>
      <c r="E31" s="348"/>
      <c r="F31" s="348"/>
      <c r="G31" s="348"/>
      <c r="H31" s="848" t="s">
        <v>163</v>
      </c>
      <c r="I31" s="849"/>
      <c r="J31" s="849"/>
      <c r="K31" s="849"/>
      <c r="L31" s="849"/>
      <c r="M31" s="849"/>
      <c r="N31" s="849"/>
      <c r="O31" s="850"/>
      <c r="P31" s="449"/>
      <c r="Q31" s="449"/>
      <c r="R31" s="349"/>
      <c r="S31" s="350">
        <f>S16+S28</f>
        <v>11614574</v>
      </c>
    </row>
    <row r="32" spans="3:23" s="242" customFormat="1" ht="16.5">
      <c r="C32" s="450"/>
      <c r="D32" s="451"/>
      <c r="E32" s="451"/>
      <c r="F32" s="451"/>
      <c r="G32" s="451"/>
      <c r="H32" s="452"/>
      <c r="I32" s="452"/>
      <c r="J32" s="452"/>
      <c r="K32" s="354"/>
      <c r="L32" s="354"/>
      <c r="M32" s="354"/>
      <c r="N32" s="354"/>
      <c r="O32" s="354"/>
      <c r="P32" s="354"/>
      <c r="Q32" s="354"/>
      <c r="R32" s="453"/>
      <c r="S32" s="454"/>
    </row>
    <row r="33" spans="1:19" s="242" customFormat="1" ht="16.5">
      <c r="C33" s="351"/>
      <c r="D33" s="286"/>
      <c r="E33" s="286"/>
      <c r="F33" s="286"/>
      <c r="G33" s="286"/>
      <c r="H33" s="455"/>
      <c r="I33" s="455"/>
      <c r="J33" s="455"/>
      <c r="K33" s="284"/>
      <c r="L33" s="284"/>
      <c r="M33" s="284"/>
      <c r="N33" s="284"/>
      <c r="O33" s="284"/>
      <c r="P33" s="284"/>
      <c r="Q33" s="284"/>
      <c r="R33" s="352"/>
      <c r="S33" s="353"/>
    </row>
    <row r="34" spans="1:19" s="242" customFormat="1" ht="16.5">
      <c r="C34" s="351"/>
      <c r="D34" s="286"/>
      <c r="E34" s="286"/>
      <c r="F34" s="286"/>
      <c r="G34" s="286"/>
      <c r="H34" s="455"/>
      <c r="I34" s="455"/>
      <c r="J34" s="455"/>
      <c r="K34" s="284"/>
      <c r="L34" s="284"/>
      <c r="M34" s="284"/>
      <c r="N34" s="284"/>
      <c r="O34" s="284"/>
      <c r="P34" s="284"/>
      <c r="Q34" s="284"/>
      <c r="R34" s="352" t="s">
        <v>552</v>
      </c>
      <c r="S34" s="353"/>
    </row>
    <row r="35" spans="1:19" s="242" customFormat="1" ht="16.5">
      <c r="A35" s="284"/>
      <c r="B35" s="284"/>
      <c r="C35" s="283"/>
      <c r="D35" s="284"/>
      <c r="E35" s="284"/>
      <c r="F35" s="284"/>
      <c r="G35" s="284"/>
      <c r="H35" s="284"/>
      <c r="I35" s="286" t="s">
        <v>168</v>
      </c>
      <c r="J35" s="284"/>
      <c r="K35" s="284"/>
      <c r="L35" s="284"/>
      <c r="M35" s="284"/>
      <c r="N35" s="284"/>
      <c r="O35" s="284"/>
      <c r="P35" s="284"/>
      <c r="Q35" s="284"/>
      <c r="R35" s="298" t="s">
        <v>193</v>
      </c>
      <c r="S35" s="285"/>
    </row>
    <row r="36" spans="1:19" s="242" customFormat="1" ht="16.5">
      <c r="A36" s="284"/>
      <c r="B36" s="284"/>
      <c r="C36" s="283"/>
      <c r="D36" s="284"/>
      <c r="E36" s="284"/>
      <c r="F36" s="284"/>
      <c r="G36" s="284"/>
      <c r="H36" s="284"/>
      <c r="I36" s="286" t="s">
        <v>298</v>
      </c>
      <c r="J36" s="284"/>
      <c r="K36" s="284"/>
      <c r="L36" s="284"/>
      <c r="M36" s="284"/>
      <c r="N36" s="284"/>
      <c r="O36" s="284"/>
      <c r="P36" s="284"/>
      <c r="Q36" s="284"/>
      <c r="R36" s="284"/>
      <c r="S36" s="285"/>
    </row>
    <row r="37" spans="1:19" s="242" customFormat="1" ht="16.5">
      <c r="A37" s="284"/>
      <c r="B37" s="284"/>
      <c r="C37" s="283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5"/>
    </row>
    <row r="38" spans="1:19" s="242" customFormat="1" ht="16.5">
      <c r="A38" s="284"/>
      <c r="B38" s="284"/>
      <c r="C38" s="283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5"/>
    </row>
    <row r="39" spans="1:19" s="242" customFormat="1" ht="16.5">
      <c r="A39" s="284"/>
      <c r="B39" s="284"/>
      <c r="C39" s="283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5"/>
    </row>
    <row r="40" spans="1:19" s="242" customFormat="1" ht="16.5">
      <c r="A40" s="284"/>
      <c r="B40" s="284"/>
      <c r="C40" s="283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5"/>
    </row>
    <row r="41" spans="1:19" s="242" customFormat="1" ht="16.5">
      <c r="A41" s="284"/>
      <c r="B41" s="284"/>
      <c r="C41" s="283"/>
      <c r="D41" s="284"/>
      <c r="E41" s="284"/>
      <c r="F41" s="284"/>
      <c r="G41" s="284"/>
      <c r="H41" s="284"/>
      <c r="I41" s="303" t="s">
        <v>304</v>
      </c>
      <c r="J41" s="284"/>
      <c r="K41" s="284"/>
      <c r="L41" s="284"/>
      <c r="M41" s="284"/>
      <c r="N41" s="284"/>
      <c r="O41" s="284"/>
      <c r="P41" s="284"/>
      <c r="Q41" s="284"/>
      <c r="R41" s="381" t="s">
        <v>551</v>
      </c>
      <c r="S41" s="285"/>
    </row>
    <row r="42" spans="1:19" s="242" customFormat="1" ht="16.5">
      <c r="A42" s="288"/>
      <c r="B42" s="288"/>
      <c r="C42" s="287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9"/>
    </row>
    <row r="43" spans="1:19" s="242" customFormat="1" ht="16.5"/>
    <row r="44" spans="1:19" s="242" customFormat="1" ht="16.5"/>
    <row r="45" spans="1:19" s="242" customFormat="1" ht="16.5"/>
    <row r="46" spans="1:19" s="242" customFormat="1" ht="16.5"/>
    <row r="47" spans="1:19" s="242" customFormat="1" ht="16.5"/>
    <row r="48" spans="1:19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8" customFormat="1"/>
    <row r="133" s="28" customFormat="1"/>
  </sheetData>
  <mergeCells count="24">
    <mergeCell ref="S13:S14"/>
    <mergeCell ref="C15:G15"/>
    <mergeCell ref="C1:S1"/>
    <mergeCell ref="C2:S2"/>
    <mergeCell ref="C3:S3"/>
    <mergeCell ref="L6:S6"/>
    <mergeCell ref="L8:S8"/>
    <mergeCell ref="C21:D21"/>
    <mergeCell ref="C13:G14"/>
    <mergeCell ref="H13:O14"/>
    <mergeCell ref="P13:P14"/>
    <mergeCell ref="Q13:Q14"/>
    <mergeCell ref="C16:D16"/>
    <mergeCell ref="C17:D17"/>
    <mergeCell ref="C18:D18"/>
    <mergeCell ref="C20:D20"/>
    <mergeCell ref="C19:D19"/>
    <mergeCell ref="C31:D31"/>
    <mergeCell ref="H31:O31"/>
    <mergeCell ref="C22:D22"/>
    <mergeCell ref="C23:D23"/>
    <mergeCell ref="C29:D29"/>
    <mergeCell ref="C28:D28"/>
    <mergeCell ref="C30:D30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S177"/>
  <sheetViews>
    <sheetView zoomScaleSheetLayoutView="90" workbookViewId="0">
      <selection activeCell="N20" sqref="N20"/>
    </sheetView>
  </sheetViews>
  <sheetFormatPr defaultRowHeight="15"/>
  <cols>
    <col min="1" max="1" width="2.28515625" customWidth="1"/>
    <col min="2" max="4" width="3.140625" customWidth="1"/>
    <col min="5" max="5" width="1.42578125" customWidth="1"/>
    <col min="6" max="6" width="21.140625" customWidth="1"/>
    <col min="7" max="7" width="1.5703125" hidden="1" customWidth="1"/>
    <col min="8" max="8" width="2.140625" customWidth="1"/>
    <col min="9" max="9" width="5.42578125" customWidth="1"/>
    <col min="10" max="10" width="2.5703125" customWidth="1"/>
    <col min="11" max="11" width="3.140625" customWidth="1"/>
    <col min="12" max="12" width="4.28515625" customWidth="1"/>
    <col min="13" max="13" width="7.28515625" customWidth="1"/>
    <col min="14" max="14" width="7.140625" customWidth="1"/>
    <col min="15" max="15" width="13.7109375" customWidth="1"/>
    <col min="16" max="16" width="16.5703125" customWidth="1"/>
    <col min="18" max="18" width="10.5703125" bestFit="1" customWidth="1"/>
    <col min="19" max="19" width="15.28515625" bestFit="1" customWidth="1"/>
  </cols>
  <sheetData>
    <row r="1" spans="1:19" s="247" customFormat="1" ht="18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5"/>
    </row>
    <row r="2" spans="1:19" s="247" customFormat="1" ht="18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1"/>
    </row>
    <row r="3" spans="1:19" s="249" customFormat="1" ht="15.7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1"/>
    </row>
    <row r="4" spans="1:19" s="242" customFormat="1" ht="18.75">
      <c r="A4" s="444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445"/>
    </row>
    <row r="5" spans="1:19" s="242" customFormat="1" ht="12" customHeight="1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94"/>
    </row>
    <row r="6" spans="1:19" s="242" customFormat="1" ht="15" customHeight="1">
      <c r="A6" s="283" t="s">
        <v>7</v>
      </c>
      <c r="B6" s="295" t="s">
        <v>10</v>
      </c>
      <c r="C6" s="295"/>
      <c r="D6" s="295"/>
      <c r="E6" s="295"/>
      <c r="F6" s="295"/>
      <c r="G6" s="286" t="s">
        <v>12</v>
      </c>
      <c r="H6" s="286" t="s">
        <v>12</v>
      </c>
      <c r="I6" s="851" t="s">
        <v>307</v>
      </c>
      <c r="J6" s="851"/>
      <c r="K6" s="851"/>
      <c r="L6" s="851"/>
      <c r="M6" s="851"/>
      <c r="N6" s="851"/>
      <c r="O6" s="851"/>
      <c r="P6" s="852"/>
    </row>
    <row r="7" spans="1:19" s="242" customFormat="1" ht="15" customHeight="1">
      <c r="A7" s="283" t="s">
        <v>8</v>
      </c>
      <c r="B7" s="295" t="s">
        <v>11</v>
      </c>
      <c r="C7" s="295"/>
      <c r="D7" s="295"/>
      <c r="E7" s="295"/>
      <c r="F7" s="295"/>
      <c r="G7" s="286" t="s">
        <v>12</v>
      </c>
      <c r="H7" s="286" t="s">
        <v>12</v>
      </c>
      <c r="I7" s="295" t="s">
        <v>473</v>
      </c>
      <c r="J7" s="295"/>
      <c r="K7" s="295"/>
      <c r="L7" s="295"/>
      <c r="M7" s="295"/>
      <c r="N7" s="295"/>
      <c r="O7" s="295"/>
      <c r="P7" s="296"/>
    </row>
    <row r="8" spans="1:19" s="242" customFormat="1" ht="15" customHeight="1">
      <c r="A8" s="283" t="s">
        <v>9</v>
      </c>
      <c r="B8" s="295" t="s">
        <v>22</v>
      </c>
      <c r="C8" s="295"/>
      <c r="D8" s="295"/>
      <c r="E8" s="295"/>
      <c r="F8" s="295"/>
      <c r="G8" s="286" t="s">
        <v>12</v>
      </c>
      <c r="H8" s="286" t="s">
        <v>12</v>
      </c>
      <c r="I8" s="851" t="s">
        <v>76</v>
      </c>
      <c r="J8" s="851"/>
      <c r="K8" s="851"/>
      <c r="L8" s="851"/>
      <c r="M8" s="851"/>
      <c r="N8" s="851"/>
      <c r="O8" s="851"/>
      <c r="P8" s="852"/>
    </row>
    <row r="9" spans="1:19" s="242" customFormat="1" ht="15" customHeight="1">
      <c r="A9" s="297" t="s">
        <v>312</v>
      </c>
      <c r="B9" s="295" t="s">
        <v>216</v>
      </c>
      <c r="C9" s="295"/>
      <c r="D9" s="295"/>
      <c r="E9" s="295"/>
      <c r="F9" s="286"/>
      <c r="G9" s="286"/>
      <c r="H9" s="286" t="s">
        <v>12</v>
      </c>
      <c r="I9" s="298" t="s">
        <v>288</v>
      </c>
      <c r="J9" s="298"/>
      <c r="K9" s="298"/>
      <c r="L9" s="298"/>
      <c r="M9" s="298"/>
      <c r="N9" s="298"/>
      <c r="O9" s="298"/>
      <c r="P9" s="299"/>
    </row>
    <row r="10" spans="1:19" s="242" customFormat="1" ht="6" customHeight="1">
      <c r="A10" s="283"/>
      <c r="B10" s="295"/>
      <c r="C10" s="295"/>
      <c r="D10" s="295"/>
      <c r="E10" s="295"/>
      <c r="F10" s="286"/>
      <c r="G10" s="286"/>
      <c r="H10" s="286"/>
      <c r="I10" s="298"/>
      <c r="J10" s="298"/>
      <c r="K10" s="298"/>
      <c r="L10" s="298"/>
      <c r="M10" s="298"/>
      <c r="N10" s="298"/>
      <c r="O10" s="298"/>
      <c r="P10" s="299"/>
    </row>
    <row r="11" spans="1:19" s="243" customFormat="1" ht="12.75">
      <c r="A11" s="394" t="s">
        <v>221</v>
      </c>
      <c r="B11" s="430"/>
      <c r="C11" s="430"/>
      <c r="D11" s="430"/>
      <c r="E11" s="430"/>
      <c r="F11" s="397"/>
      <c r="G11" s="382"/>
      <c r="H11" s="382" t="s">
        <v>12</v>
      </c>
      <c r="I11" s="397"/>
      <c r="J11" s="397"/>
      <c r="K11" s="397"/>
      <c r="L11" s="397"/>
      <c r="M11" s="397"/>
      <c r="N11" s="397"/>
      <c r="O11" s="397"/>
      <c r="P11" s="398"/>
    </row>
    <row r="12" spans="1:19" s="242" customFormat="1" ht="4.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5"/>
    </row>
    <row r="13" spans="1:19" s="243" customFormat="1" ht="15.75" customHeight="1">
      <c r="A13" s="775" t="s">
        <v>0</v>
      </c>
      <c r="B13" s="776"/>
      <c r="C13" s="776"/>
      <c r="D13" s="777"/>
      <c r="E13" s="775" t="s">
        <v>1</v>
      </c>
      <c r="F13" s="776"/>
      <c r="G13" s="776"/>
      <c r="H13" s="776"/>
      <c r="I13" s="776"/>
      <c r="J13" s="776"/>
      <c r="K13" s="776"/>
      <c r="L13" s="777"/>
      <c r="M13" s="780" t="s">
        <v>2</v>
      </c>
      <c r="N13" s="780" t="s">
        <v>47</v>
      </c>
      <c r="O13" s="290" t="s">
        <v>4</v>
      </c>
      <c r="P13" s="780" t="s">
        <v>3</v>
      </c>
    </row>
    <row r="14" spans="1:19" s="243" customFormat="1" ht="12.75">
      <c r="A14" s="863"/>
      <c r="B14" s="778"/>
      <c r="C14" s="778"/>
      <c r="D14" s="779"/>
      <c r="E14" s="863"/>
      <c r="F14" s="778"/>
      <c r="G14" s="778"/>
      <c r="H14" s="778"/>
      <c r="I14" s="778"/>
      <c r="J14" s="778"/>
      <c r="K14" s="778"/>
      <c r="L14" s="779"/>
      <c r="M14" s="781"/>
      <c r="N14" s="781"/>
      <c r="O14" s="291" t="s">
        <v>5</v>
      </c>
      <c r="P14" s="781"/>
    </row>
    <row r="15" spans="1:19" s="237" customFormat="1" ht="12.75" customHeight="1">
      <c r="A15" s="864">
        <v>1</v>
      </c>
      <c r="B15" s="865"/>
      <c r="C15" s="865"/>
      <c r="D15" s="866"/>
      <c r="E15" s="864">
        <v>2</v>
      </c>
      <c r="F15" s="865"/>
      <c r="G15" s="865"/>
      <c r="H15" s="865"/>
      <c r="I15" s="865"/>
      <c r="J15" s="865"/>
      <c r="K15" s="865"/>
      <c r="L15" s="866"/>
      <c r="M15" s="239">
        <v>3</v>
      </c>
      <c r="N15" s="239"/>
      <c r="O15" s="239">
        <v>4</v>
      </c>
      <c r="P15" s="239">
        <v>5</v>
      </c>
    </row>
    <row r="16" spans="1:19" s="242" customFormat="1" ht="15" customHeight="1">
      <c r="A16" s="252">
        <v>2</v>
      </c>
      <c r="B16" s="253">
        <v>1</v>
      </c>
      <c r="C16" s="253">
        <v>9</v>
      </c>
      <c r="D16" s="253">
        <v>3</v>
      </c>
      <c r="E16" s="432" t="s">
        <v>14</v>
      </c>
      <c r="F16" s="378" t="s">
        <v>60</v>
      </c>
      <c r="G16" s="379"/>
      <c r="H16" s="379"/>
      <c r="I16" s="379"/>
      <c r="J16" s="379"/>
      <c r="K16" s="379"/>
      <c r="L16" s="433"/>
      <c r="M16" s="256"/>
      <c r="N16" s="256"/>
      <c r="O16" s="256"/>
      <c r="P16" s="308">
        <f>P17</f>
        <v>5000000</v>
      </c>
      <c r="S16" s="271">
        <v>10913649</v>
      </c>
    </row>
    <row r="17" spans="1:19" s="242" customFormat="1" ht="15" customHeight="1">
      <c r="A17" s="407"/>
      <c r="B17" s="408"/>
      <c r="C17" s="408"/>
      <c r="D17" s="408"/>
      <c r="E17" s="407"/>
      <c r="F17" s="443" t="s">
        <v>474</v>
      </c>
      <c r="G17" s="309"/>
      <c r="H17" s="415"/>
      <c r="I17" s="415"/>
      <c r="J17" s="415"/>
      <c r="K17" s="415"/>
      <c r="L17" s="416"/>
      <c r="M17" s="408">
        <v>1</v>
      </c>
      <c r="N17" s="408" t="s">
        <v>448</v>
      </c>
      <c r="O17" s="417">
        <v>5000000</v>
      </c>
      <c r="P17" s="434">
        <f>M17*O17</f>
        <v>5000000</v>
      </c>
      <c r="R17" s="311"/>
    </row>
    <row r="18" spans="1:19" s="242" customFormat="1" ht="15" customHeight="1">
      <c r="A18" s="407"/>
      <c r="B18" s="408"/>
      <c r="C18" s="408"/>
      <c r="D18" s="408"/>
      <c r="E18" s="407"/>
      <c r="F18" s="309"/>
      <c r="G18" s="309"/>
      <c r="H18" s="415"/>
      <c r="I18" s="415"/>
      <c r="J18" s="415"/>
      <c r="K18" s="415"/>
      <c r="L18" s="416"/>
      <c r="M18" s="408"/>
      <c r="N18" s="408"/>
      <c r="O18" s="417"/>
      <c r="P18" s="417"/>
      <c r="R18" s="311"/>
      <c r="S18" s="282" t="e">
        <f>#REF!-#REF!</f>
        <v>#REF!</v>
      </c>
    </row>
    <row r="19" spans="1:19" s="242" customFormat="1" ht="15" customHeight="1">
      <c r="A19" s="407"/>
      <c r="B19" s="408"/>
      <c r="C19" s="408"/>
      <c r="D19" s="408"/>
      <c r="E19" s="407"/>
      <c r="F19" s="309"/>
      <c r="G19" s="309"/>
      <c r="H19" s="309"/>
      <c r="I19" s="309"/>
      <c r="J19" s="415"/>
      <c r="K19" s="415"/>
      <c r="L19" s="416"/>
      <c r="M19" s="408"/>
      <c r="N19" s="408"/>
      <c r="O19" s="417"/>
      <c r="P19" s="417">
        <f>M19*O19</f>
        <v>0</v>
      </c>
      <c r="R19" s="311"/>
    </row>
    <row r="20" spans="1:19" s="242" customFormat="1" ht="15" customHeight="1">
      <c r="A20" s="437"/>
      <c r="B20" s="438"/>
      <c r="C20" s="438"/>
      <c r="D20" s="438"/>
      <c r="E20" s="437"/>
      <c r="F20" s="376"/>
      <c r="G20" s="376"/>
      <c r="H20" s="376"/>
      <c r="I20" s="376"/>
      <c r="J20" s="439"/>
      <c r="K20" s="439"/>
      <c r="L20" s="440"/>
      <c r="M20" s="438"/>
      <c r="N20" s="438"/>
      <c r="O20" s="441"/>
      <c r="P20" s="441"/>
    </row>
    <row r="21" spans="1:19" s="242" customFormat="1" ht="15" customHeight="1">
      <c r="A21" s="425"/>
      <c r="B21" s="426"/>
      <c r="C21" s="426"/>
      <c r="D21" s="426"/>
      <c r="E21" s="760" t="s">
        <v>163</v>
      </c>
      <c r="F21" s="761"/>
      <c r="G21" s="761"/>
      <c r="H21" s="761"/>
      <c r="I21" s="761"/>
      <c r="J21" s="761"/>
      <c r="K21" s="761"/>
      <c r="L21" s="764"/>
      <c r="M21" s="442"/>
      <c r="N21" s="442"/>
      <c r="O21" s="442"/>
      <c r="P21" s="429">
        <f>SUM(P16)</f>
        <v>5000000</v>
      </c>
    </row>
    <row r="22" spans="1:19" s="242" customFormat="1" ht="15.75" customHeight="1">
      <c r="A22" s="351"/>
      <c r="B22" s="286"/>
      <c r="C22" s="286"/>
      <c r="D22" s="286"/>
      <c r="E22" s="268"/>
      <c r="F22" s="268"/>
      <c r="G22" s="268"/>
      <c r="H22" s="268"/>
      <c r="I22" s="268"/>
      <c r="J22" s="268"/>
      <c r="K22" s="268"/>
      <c r="L22" s="268"/>
      <c r="M22" s="284"/>
      <c r="N22" s="284"/>
      <c r="O22" s="284"/>
      <c r="P22" s="353"/>
    </row>
    <row r="23" spans="1:19" s="242" customFormat="1" ht="15.75" customHeight="1">
      <c r="A23" s="351"/>
      <c r="B23" s="286"/>
      <c r="C23" s="286"/>
      <c r="D23" s="286"/>
      <c r="E23" s="268"/>
      <c r="F23" s="268"/>
      <c r="G23" s="268"/>
      <c r="H23" s="268"/>
      <c r="I23" s="268"/>
      <c r="J23" s="268"/>
      <c r="K23" s="268"/>
      <c r="L23" s="268"/>
      <c r="M23" s="284"/>
      <c r="N23" s="284"/>
      <c r="O23" s="284"/>
      <c r="P23" s="353"/>
    </row>
    <row r="24" spans="1:19" s="242" customFormat="1" ht="16.5">
      <c r="A24" s="283"/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 t="s">
        <v>552</v>
      </c>
      <c r="P24" s="285"/>
    </row>
    <row r="25" spans="1:19" s="242" customFormat="1" ht="16.5">
      <c r="A25" s="283"/>
      <c r="B25" s="284"/>
      <c r="C25" s="284"/>
      <c r="D25" s="284"/>
      <c r="E25" s="284"/>
      <c r="F25" s="286" t="s">
        <v>168</v>
      </c>
      <c r="G25" s="284"/>
      <c r="H25" s="284"/>
      <c r="I25" s="284"/>
      <c r="J25" s="284"/>
      <c r="K25" s="284"/>
      <c r="L25" s="284"/>
      <c r="M25" s="284"/>
      <c r="N25" s="284"/>
      <c r="O25" s="298" t="s">
        <v>193</v>
      </c>
      <c r="P25" s="285"/>
    </row>
    <row r="26" spans="1:19" s="242" customFormat="1" ht="16.5">
      <c r="A26" s="283"/>
      <c r="B26" s="284"/>
      <c r="C26" s="284"/>
      <c r="D26" s="284"/>
      <c r="E26" s="284"/>
      <c r="F26" s="286" t="s">
        <v>41</v>
      </c>
      <c r="G26" s="284"/>
      <c r="H26" s="284"/>
      <c r="I26" s="284"/>
      <c r="J26" s="284"/>
      <c r="K26" s="284"/>
      <c r="L26" s="284"/>
      <c r="M26" s="284"/>
      <c r="N26" s="284"/>
      <c r="O26" s="284"/>
      <c r="P26" s="285"/>
    </row>
    <row r="27" spans="1:19" s="242" customFormat="1" ht="16.5">
      <c r="A27" s="283"/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5"/>
    </row>
    <row r="28" spans="1:19" s="242" customFormat="1" ht="16.5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5"/>
    </row>
    <row r="29" spans="1:19" s="242" customFormat="1" ht="16.5">
      <c r="A29" s="283"/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5"/>
    </row>
    <row r="30" spans="1:19" s="242" customFormat="1" ht="16.5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5"/>
    </row>
    <row r="31" spans="1:19" s="242" customFormat="1" ht="16.5">
      <c r="A31" s="283"/>
      <c r="B31" s="284"/>
      <c r="C31" s="284"/>
      <c r="D31" s="284"/>
      <c r="E31" s="284"/>
      <c r="F31" s="303" t="s">
        <v>306</v>
      </c>
      <c r="G31" s="284"/>
      <c r="H31" s="284"/>
      <c r="I31" s="284"/>
      <c r="J31" s="284"/>
      <c r="K31" s="284"/>
      <c r="L31" s="284"/>
      <c r="M31" s="284"/>
      <c r="N31" s="284"/>
      <c r="O31" s="381" t="s">
        <v>554</v>
      </c>
      <c r="P31" s="285"/>
    </row>
    <row r="32" spans="1:19" s="242" customFormat="1" ht="16.5">
      <c r="A32" s="287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9"/>
    </row>
    <row r="33" s="242" customFormat="1" ht="16.5"/>
    <row r="34" s="242" customFormat="1" ht="16.5"/>
    <row r="35" s="242" customFormat="1" ht="16.5"/>
    <row r="36" s="242" customFormat="1" ht="16.5"/>
    <row r="37" s="242" customFormat="1" ht="16.5"/>
    <row r="38" s="242" customFormat="1" ht="16.5"/>
    <row r="39" s="242" customFormat="1" ht="16.5"/>
    <row r="40" s="242" customFormat="1" ht="16.5"/>
    <row r="41" s="242" customFormat="1" ht="16.5"/>
    <row r="42" s="242" customFormat="1" ht="16.5"/>
    <row r="43" s="242" customFormat="1" ht="16.5"/>
    <row r="44" s="242" customFormat="1" ht="16.5"/>
    <row r="45" s="242" customFormat="1" ht="16.5"/>
    <row r="46" s="242" customFormat="1" ht="16.5"/>
    <row r="47" s="242" customFormat="1" ht="16.5"/>
    <row r="48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8" customFormat="1"/>
    <row r="177" s="28" customFormat="1"/>
  </sheetData>
  <mergeCells count="13">
    <mergeCell ref="E21:L21"/>
    <mergeCell ref="A13:D14"/>
    <mergeCell ref="E13:L14"/>
    <mergeCell ref="M13:M14"/>
    <mergeCell ref="N13:N14"/>
    <mergeCell ref="P13:P14"/>
    <mergeCell ref="A15:D15"/>
    <mergeCell ref="E15:L15"/>
    <mergeCell ref="A1:P1"/>
    <mergeCell ref="A2:P2"/>
    <mergeCell ref="A3:P3"/>
    <mergeCell ref="I6:P6"/>
    <mergeCell ref="I8:P8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S192"/>
  <sheetViews>
    <sheetView topLeftCell="A7" zoomScaleSheetLayoutView="90" workbookViewId="0">
      <selection activeCell="Q7" sqref="Q7"/>
    </sheetView>
  </sheetViews>
  <sheetFormatPr defaultRowHeight="15"/>
  <cols>
    <col min="1" max="1" width="2" customWidth="1"/>
    <col min="2" max="2" width="0.7109375" customWidth="1"/>
    <col min="3" max="3" width="2.85546875" customWidth="1"/>
    <col min="4" max="4" width="3" customWidth="1"/>
    <col min="5" max="5" width="2.85546875" customWidth="1"/>
    <col min="6" max="6" width="1.5703125" customWidth="1"/>
    <col min="7" max="7" width="20.28515625" customWidth="1"/>
    <col min="8" max="8" width="1.5703125" hidden="1" customWidth="1"/>
    <col min="9" max="9" width="3.140625" customWidth="1"/>
    <col min="10" max="10" width="4.5703125" customWidth="1"/>
    <col min="11" max="11" width="3.42578125" customWidth="1"/>
    <col min="12" max="12" width="2.85546875" customWidth="1"/>
    <col min="13" max="13" width="4.5703125" customWidth="1"/>
    <col min="14" max="14" width="7.28515625" customWidth="1"/>
    <col min="15" max="15" width="6.7109375" customWidth="1"/>
    <col min="16" max="16" width="13" customWidth="1"/>
    <col min="17" max="17" width="16" customWidth="1"/>
    <col min="19" max="19" width="10.5703125" bestFit="1" customWidth="1"/>
    <col min="20" max="20" width="10" bestFit="1" customWidth="1"/>
  </cols>
  <sheetData>
    <row r="1" spans="1:17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2" customFormat="1" ht="18.75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2" customFormat="1" ht="16.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44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445"/>
    </row>
    <row r="5" spans="1:17" s="242" customFormat="1" ht="16.5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5" customHeight="1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310</v>
      </c>
      <c r="K6" s="851"/>
      <c r="L6" s="851"/>
      <c r="M6" s="851"/>
      <c r="N6" s="851"/>
      <c r="O6" s="851"/>
      <c r="P6" s="851"/>
      <c r="Q6" s="852"/>
    </row>
    <row r="7" spans="1:17" s="242" customFormat="1" ht="15" customHeight="1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311</v>
      </c>
      <c r="K7" s="295"/>
      <c r="L7" s="295"/>
      <c r="M7" s="295"/>
      <c r="N7" s="295"/>
      <c r="O7" s="295"/>
      <c r="P7" s="295"/>
      <c r="Q7" s="296"/>
    </row>
    <row r="8" spans="1:17" s="242" customFormat="1" ht="15" customHeight="1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51" t="s">
        <v>76</v>
      </c>
      <c r="K8" s="851"/>
      <c r="L8" s="851"/>
      <c r="M8" s="851"/>
      <c r="N8" s="851"/>
      <c r="O8" s="851"/>
      <c r="P8" s="851"/>
      <c r="Q8" s="852"/>
    </row>
    <row r="9" spans="1:17" s="242" customFormat="1" ht="15" customHeight="1">
      <c r="A9" s="297" t="s">
        <v>312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298" t="s">
        <v>480</v>
      </c>
      <c r="K9" s="298"/>
      <c r="L9" s="298"/>
      <c r="M9" s="298"/>
      <c r="N9" s="298"/>
      <c r="O9" s="298"/>
      <c r="P9" s="298"/>
      <c r="Q9" s="299"/>
    </row>
    <row r="10" spans="1:17" s="242" customFormat="1" ht="5.25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298"/>
      <c r="K10" s="298"/>
      <c r="L10" s="298"/>
      <c r="M10" s="298"/>
      <c r="N10" s="298"/>
      <c r="O10" s="298"/>
      <c r="P10" s="298"/>
      <c r="Q10" s="299"/>
    </row>
    <row r="11" spans="1:17" s="243" customFormat="1" ht="12.75">
      <c r="A11" s="457" t="s">
        <v>221</v>
      </c>
      <c r="B11" s="395"/>
      <c r="C11" s="395"/>
      <c r="D11" s="395"/>
      <c r="E11" s="395"/>
      <c r="F11" s="395"/>
      <c r="G11" s="382"/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4.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290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291" t="s">
        <v>5</v>
      </c>
      <c r="Q14" s="781"/>
    </row>
    <row r="15" spans="1:17" s="237" customFormat="1" ht="13.5">
      <c r="A15" s="864">
        <v>1</v>
      </c>
      <c r="B15" s="865"/>
      <c r="C15" s="865"/>
      <c r="D15" s="865"/>
      <c r="E15" s="866"/>
      <c r="F15" s="238"/>
      <c r="G15" s="240">
        <v>2</v>
      </c>
      <c r="H15" s="240"/>
      <c r="I15" s="240"/>
      <c r="J15" s="240"/>
      <c r="K15" s="240"/>
      <c r="L15" s="240"/>
      <c r="M15" s="241"/>
      <c r="N15" s="239">
        <v>3</v>
      </c>
      <c r="O15" s="239"/>
      <c r="P15" s="239">
        <v>4</v>
      </c>
      <c r="Q15" s="239">
        <v>5</v>
      </c>
    </row>
    <row r="16" spans="1:17" s="383" customFormat="1" ht="15.75" customHeight="1">
      <c r="A16" s="879">
        <v>2</v>
      </c>
      <c r="B16" s="880"/>
      <c r="C16" s="253">
        <v>1</v>
      </c>
      <c r="D16" s="253">
        <v>10</v>
      </c>
      <c r="E16" s="253">
        <v>2</v>
      </c>
      <c r="F16" s="432" t="s">
        <v>14</v>
      </c>
      <c r="G16" s="378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SUM(Q17+Q22+Q26+Q31)</f>
        <v>2976500</v>
      </c>
    </row>
    <row r="17" spans="1:19" s="242" customFormat="1" ht="15.75" customHeight="1">
      <c r="A17" s="877"/>
      <c r="B17" s="878"/>
      <c r="C17" s="408"/>
      <c r="D17" s="408"/>
      <c r="E17" s="408"/>
      <c r="F17" s="407"/>
      <c r="G17" s="318" t="s">
        <v>202</v>
      </c>
      <c r="H17" s="309"/>
      <c r="I17" s="415"/>
      <c r="J17" s="415"/>
      <c r="K17" s="415"/>
      <c r="L17" s="415"/>
      <c r="M17" s="416"/>
      <c r="N17" s="408"/>
      <c r="O17" s="408"/>
      <c r="P17" s="417"/>
      <c r="Q17" s="434">
        <f>SUM(Q18:Q20)</f>
        <v>1300000</v>
      </c>
      <c r="S17" s="311"/>
    </row>
    <row r="18" spans="1:19" s="242" customFormat="1" ht="15.75" customHeight="1">
      <c r="A18" s="877"/>
      <c r="B18" s="878"/>
      <c r="C18" s="408"/>
      <c r="D18" s="408"/>
      <c r="E18" s="408"/>
      <c r="F18" s="407"/>
      <c r="G18" s="309" t="s">
        <v>49</v>
      </c>
      <c r="H18" s="309"/>
      <c r="I18" s="415">
        <v>1</v>
      </c>
      <c r="J18" s="415" t="s">
        <v>17</v>
      </c>
      <c r="K18" s="415" t="s">
        <v>20</v>
      </c>
      <c r="L18" s="415">
        <v>1</v>
      </c>
      <c r="M18" s="416" t="s">
        <v>43</v>
      </c>
      <c r="N18" s="408">
        <f>I18*L18</f>
        <v>1</v>
      </c>
      <c r="O18" s="408" t="s">
        <v>43</v>
      </c>
      <c r="P18" s="417">
        <v>300000</v>
      </c>
      <c r="Q18" s="417">
        <f>N18*P18</f>
        <v>300000</v>
      </c>
      <c r="S18" s="311"/>
    </row>
    <row r="19" spans="1:19" s="242" customFormat="1" ht="15.75" customHeight="1">
      <c r="A19" s="407"/>
      <c r="B19" s="416"/>
      <c r="C19" s="408"/>
      <c r="D19" s="408"/>
      <c r="E19" s="408"/>
      <c r="F19" s="407"/>
      <c r="G19" s="309" t="s">
        <v>66</v>
      </c>
      <c r="H19" s="309"/>
      <c r="I19" s="415">
        <v>1</v>
      </c>
      <c r="J19" s="415" t="s">
        <v>17</v>
      </c>
      <c r="K19" s="415" t="s">
        <v>20</v>
      </c>
      <c r="L19" s="415">
        <v>1</v>
      </c>
      <c r="M19" s="416" t="s">
        <v>43</v>
      </c>
      <c r="N19" s="408">
        <f>I19*L19</f>
        <v>1</v>
      </c>
      <c r="O19" s="408" t="s">
        <v>43</v>
      </c>
      <c r="P19" s="417">
        <v>250000</v>
      </c>
      <c r="Q19" s="417">
        <f>N19*P19</f>
        <v>250000</v>
      </c>
      <c r="S19" s="311"/>
    </row>
    <row r="20" spans="1:19" s="242" customFormat="1" ht="15.75" customHeight="1">
      <c r="A20" s="877"/>
      <c r="B20" s="878"/>
      <c r="C20" s="408"/>
      <c r="D20" s="408"/>
      <c r="E20" s="408"/>
      <c r="F20" s="407"/>
      <c r="G20" s="309" t="s">
        <v>50</v>
      </c>
      <c r="H20" s="309"/>
      <c r="I20" s="415">
        <v>3</v>
      </c>
      <c r="J20" s="415" t="s">
        <v>17</v>
      </c>
      <c r="K20" s="415" t="s">
        <v>20</v>
      </c>
      <c r="L20" s="415">
        <v>1</v>
      </c>
      <c r="M20" s="416" t="s">
        <v>43</v>
      </c>
      <c r="N20" s="408">
        <f>I20*L20</f>
        <v>3</v>
      </c>
      <c r="O20" s="408" t="s">
        <v>43</v>
      </c>
      <c r="P20" s="417">
        <v>250000</v>
      </c>
      <c r="Q20" s="417">
        <f>N20*P20</f>
        <v>750000</v>
      </c>
    </row>
    <row r="21" spans="1:19" s="242" customFormat="1" ht="15.75" customHeight="1">
      <c r="A21" s="877"/>
      <c r="B21" s="878"/>
      <c r="C21" s="408"/>
      <c r="D21" s="408"/>
      <c r="E21" s="408"/>
      <c r="F21" s="407"/>
      <c r="G21" s="309"/>
      <c r="H21" s="309"/>
      <c r="I21" s="415"/>
      <c r="J21" s="415"/>
      <c r="K21" s="415"/>
      <c r="L21" s="415"/>
      <c r="M21" s="416"/>
      <c r="N21" s="408"/>
      <c r="O21" s="408"/>
      <c r="P21" s="417"/>
      <c r="Q21" s="417"/>
    </row>
    <row r="22" spans="1:19" s="242" customFormat="1" ht="15.75" customHeight="1">
      <c r="A22" s="877"/>
      <c r="B22" s="878"/>
      <c r="C22" s="408"/>
      <c r="D22" s="408"/>
      <c r="E22" s="408"/>
      <c r="F22" s="435" t="s">
        <v>14</v>
      </c>
      <c r="G22" s="436" t="s">
        <v>51</v>
      </c>
      <c r="H22" s="309"/>
      <c r="I22" s="415"/>
      <c r="J22" s="415"/>
      <c r="K22" s="415"/>
      <c r="L22" s="415"/>
      <c r="M22" s="416"/>
      <c r="N22" s="408"/>
      <c r="O22" s="408"/>
      <c r="P22" s="417"/>
      <c r="Q22" s="434">
        <f>SUM(Q23:Q24)</f>
        <v>1575000</v>
      </c>
    </row>
    <row r="23" spans="1:19" s="242" customFormat="1" ht="15.75" customHeight="1">
      <c r="A23" s="877"/>
      <c r="B23" s="878"/>
      <c r="C23" s="408"/>
      <c r="D23" s="408"/>
      <c r="E23" s="408"/>
      <c r="F23" s="407"/>
      <c r="G23" s="309" t="s">
        <v>52</v>
      </c>
      <c r="H23" s="309"/>
      <c r="I23" s="309">
        <v>45</v>
      </c>
      <c r="J23" s="309" t="s">
        <v>53</v>
      </c>
      <c r="K23" s="415" t="s">
        <v>20</v>
      </c>
      <c r="L23" s="415">
        <v>1</v>
      </c>
      <c r="M23" s="416" t="s">
        <v>43</v>
      </c>
      <c r="N23" s="408">
        <f>I23*L23</f>
        <v>45</v>
      </c>
      <c r="O23" s="408" t="s">
        <v>53</v>
      </c>
      <c r="P23" s="417">
        <v>25000</v>
      </c>
      <c r="Q23" s="417">
        <f>N23*P23</f>
        <v>1125000</v>
      </c>
    </row>
    <row r="24" spans="1:19" s="242" customFormat="1" ht="15.75" customHeight="1">
      <c r="A24" s="877"/>
      <c r="B24" s="878"/>
      <c r="C24" s="408"/>
      <c r="D24" s="408"/>
      <c r="E24" s="408"/>
      <c r="F24" s="407"/>
      <c r="G24" s="309" t="s">
        <v>54</v>
      </c>
      <c r="H24" s="309"/>
      <c r="I24" s="309">
        <v>45</v>
      </c>
      <c r="J24" s="309" t="s">
        <v>53</v>
      </c>
      <c r="K24" s="415" t="s">
        <v>20</v>
      </c>
      <c r="L24" s="415">
        <v>1</v>
      </c>
      <c r="M24" s="416" t="s">
        <v>43</v>
      </c>
      <c r="N24" s="408">
        <f>I24*L24</f>
        <v>45</v>
      </c>
      <c r="O24" s="408" t="s">
        <v>53</v>
      </c>
      <c r="P24" s="417">
        <v>10000</v>
      </c>
      <c r="Q24" s="417">
        <f>N24*P24</f>
        <v>450000</v>
      </c>
    </row>
    <row r="25" spans="1:19" s="242" customFormat="1" ht="15.75" customHeight="1">
      <c r="A25" s="877"/>
      <c r="B25" s="878"/>
      <c r="C25" s="408"/>
      <c r="D25" s="408"/>
      <c r="E25" s="408"/>
      <c r="F25" s="407"/>
      <c r="G25" s="309"/>
      <c r="H25" s="309"/>
      <c r="I25" s="309"/>
      <c r="J25" s="309"/>
      <c r="K25" s="415"/>
      <c r="L25" s="415"/>
      <c r="M25" s="416"/>
      <c r="N25" s="408"/>
      <c r="O25" s="408"/>
      <c r="P25" s="417"/>
      <c r="Q25" s="417"/>
    </row>
    <row r="26" spans="1:19" s="242" customFormat="1" ht="15.75" customHeight="1">
      <c r="A26" s="877"/>
      <c r="B26" s="878"/>
      <c r="C26" s="408"/>
      <c r="D26" s="408"/>
      <c r="E26" s="408"/>
      <c r="F26" s="435" t="s">
        <v>14</v>
      </c>
      <c r="G26" s="436" t="s">
        <v>77</v>
      </c>
      <c r="H26" s="309"/>
      <c r="I26" s="415"/>
      <c r="J26" s="415"/>
      <c r="K26" s="415"/>
      <c r="L26" s="415"/>
      <c r="M26" s="416"/>
      <c r="N26" s="408"/>
      <c r="O26" s="408"/>
      <c r="P26" s="417"/>
      <c r="Q26" s="434">
        <f>SUM(Q27:Q29)</f>
        <v>86500</v>
      </c>
    </row>
    <row r="27" spans="1:19" s="242" customFormat="1" ht="15.75" customHeight="1">
      <c r="A27" s="877"/>
      <c r="B27" s="878"/>
      <c r="C27" s="408"/>
      <c r="D27" s="408"/>
      <c r="E27" s="408"/>
      <c r="F27" s="407"/>
      <c r="G27" s="309" t="s">
        <v>31</v>
      </c>
      <c r="H27" s="309"/>
      <c r="I27" s="309"/>
      <c r="J27" s="309"/>
      <c r="K27" s="415"/>
      <c r="L27" s="415"/>
      <c r="M27" s="416"/>
      <c r="N27" s="408">
        <v>1</v>
      </c>
      <c r="O27" s="408" t="s">
        <v>191</v>
      </c>
      <c r="P27" s="417">
        <v>49000</v>
      </c>
      <c r="Q27" s="417">
        <f>N27*P27</f>
        <v>49000</v>
      </c>
    </row>
    <row r="28" spans="1:19" s="242" customFormat="1" ht="15.75" customHeight="1">
      <c r="A28" s="877"/>
      <c r="B28" s="878"/>
      <c r="C28" s="408"/>
      <c r="D28" s="408"/>
      <c r="E28" s="408"/>
      <c r="F28" s="407"/>
      <c r="G28" s="309" t="s">
        <v>471</v>
      </c>
      <c r="H28" s="309"/>
      <c r="I28" s="309"/>
      <c r="J28" s="309"/>
      <c r="K28" s="415"/>
      <c r="L28" s="415"/>
      <c r="M28" s="416"/>
      <c r="N28" s="408">
        <v>1</v>
      </c>
      <c r="O28" s="408" t="s">
        <v>53</v>
      </c>
      <c r="P28" s="417">
        <v>22500</v>
      </c>
      <c r="Q28" s="417">
        <f>N28*P28</f>
        <v>22500</v>
      </c>
    </row>
    <row r="29" spans="1:19" s="242" customFormat="1" ht="15.75" customHeight="1">
      <c r="A29" s="877"/>
      <c r="B29" s="878"/>
      <c r="C29" s="408"/>
      <c r="D29" s="408"/>
      <c r="E29" s="408"/>
      <c r="F29" s="407"/>
      <c r="G29" s="309" t="s">
        <v>32</v>
      </c>
      <c r="H29" s="309"/>
      <c r="I29" s="309"/>
      <c r="J29" s="309"/>
      <c r="K29" s="415"/>
      <c r="L29" s="415"/>
      <c r="M29" s="416"/>
      <c r="N29" s="408">
        <v>1</v>
      </c>
      <c r="O29" s="408" t="s">
        <v>55</v>
      </c>
      <c r="P29" s="417">
        <v>15000</v>
      </c>
      <c r="Q29" s="417">
        <f>N29*P29</f>
        <v>15000</v>
      </c>
    </row>
    <row r="30" spans="1:19" s="242" customFormat="1" ht="15.75" customHeight="1">
      <c r="A30" s="407"/>
      <c r="B30" s="416"/>
      <c r="C30" s="408"/>
      <c r="D30" s="408"/>
      <c r="E30" s="408"/>
      <c r="F30" s="407"/>
      <c r="G30" s="309"/>
      <c r="H30" s="309"/>
      <c r="I30" s="309"/>
      <c r="J30" s="309"/>
      <c r="K30" s="415"/>
      <c r="L30" s="415"/>
      <c r="M30" s="416"/>
      <c r="N30" s="408"/>
      <c r="O30" s="408"/>
      <c r="P30" s="417"/>
      <c r="Q30" s="417"/>
    </row>
    <row r="31" spans="1:19" s="242" customFormat="1" ht="15.75" customHeight="1">
      <c r="A31" s="877"/>
      <c r="B31" s="878"/>
      <c r="C31" s="408"/>
      <c r="D31" s="408"/>
      <c r="E31" s="408"/>
      <c r="F31" s="458" t="s">
        <v>14</v>
      </c>
      <c r="G31" s="318" t="s">
        <v>68</v>
      </c>
      <c r="H31" s="309"/>
      <c r="I31" s="309"/>
      <c r="J31" s="309"/>
      <c r="K31" s="415"/>
      <c r="L31" s="415"/>
      <c r="M31" s="416"/>
      <c r="N31" s="408"/>
      <c r="O31" s="408"/>
      <c r="P31" s="459"/>
      <c r="Q31" s="434">
        <f>SUM(Q32:Q33)</f>
        <v>15000</v>
      </c>
    </row>
    <row r="32" spans="1:19" s="242" customFormat="1" ht="15.75" customHeight="1">
      <c r="A32" s="877"/>
      <c r="B32" s="878"/>
      <c r="C32" s="408"/>
      <c r="D32" s="408"/>
      <c r="E32" s="408"/>
      <c r="F32" s="407"/>
      <c r="G32" s="309" t="s">
        <v>69</v>
      </c>
      <c r="H32" s="309"/>
      <c r="I32" s="309"/>
      <c r="J32" s="309"/>
      <c r="K32" s="309"/>
      <c r="L32" s="309"/>
      <c r="M32" s="460"/>
      <c r="N32" s="408">
        <v>50</v>
      </c>
      <c r="O32" s="408" t="s">
        <v>38</v>
      </c>
      <c r="P32" s="413">
        <v>300</v>
      </c>
      <c r="Q32" s="417">
        <f>SUM(N32*P32)</f>
        <v>15000</v>
      </c>
    </row>
    <row r="33" spans="1:17" s="242" customFormat="1" ht="15.75" customHeight="1">
      <c r="A33" s="881"/>
      <c r="B33" s="882"/>
      <c r="C33" s="438"/>
      <c r="D33" s="438"/>
      <c r="E33" s="438"/>
      <c r="F33" s="437"/>
      <c r="G33" s="376"/>
      <c r="H33" s="376"/>
      <c r="I33" s="376"/>
      <c r="J33" s="376"/>
      <c r="K33" s="376"/>
      <c r="L33" s="376"/>
      <c r="M33" s="461"/>
      <c r="N33" s="438"/>
      <c r="O33" s="438"/>
      <c r="P33" s="462"/>
      <c r="Q33" s="441"/>
    </row>
    <row r="34" spans="1:17" s="242" customFormat="1" ht="15.75" customHeight="1">
      <c r="A34" s="768"/>
      <c r="B34" s="883"/>
      <c r="C34" s="426"/>
      <c r="D34" s="426"/>
      <c r="E34" s="426"/>
      <c r="F34" s="760" t="s">
        <v>163</v>
      </c>
      <c r="G34" s="761"/>
      <c r="H34" s="761"/>
      <c r="I34" s="761"/>
      <c r="J34" s="761"/>
      <c r="K34" s="761"/>
      <c r="L34" s="761"/>
      <c r="M34" s="764"/>
      <c r="N34" s="442"/>
      <c r="O34" s="442"/>
      <c r="P34" s="442"/>
      <c r="Q34" s="429">
        <f>SUM(Q31+Q26+Q22+Q17)</f>
        <v>2976500</v>
      </c>
    </row>
    <row r="35" spans="1:17" s="242" customFormat="1" ht="16.5">
      <c r="A35" s="367"/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87"/>
    </row>
    <row r="36" spans="1:17" s="242" customFormat="1" ht="16.5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5"/>
    </row>
    <row r="37" spans="1:17" s="242" customFormat="1" ht="16.5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 t="s">
        <v>552</v>
      </c>
      <c r="Q37" s="285"/>
    </row>
    <row r="38" spans="1:17" s="242" customFormat="1" ht="16.5">
      <c r="A38" s="283"/>
      <c r="B38" s="284"/>
      <c r="C38" s="284"/>
      <c r="D38" s="284"/>
      <c r="E38" s="284"/>
      <c r="F38" s="284"/>
      <c r="G38" s="286" t="s">
        <v>168</v>
      </c>
      <c r="H38" s="284"/>
      <c r="I38" s="284"/>
      <c r="J38" s="284"/>
      <c r="K38" s="284"/>
      <c r="L38" s="284"/>
      <c r="M38" s="284"/>
      <c r="N38" s="284"/>
      <c r="O38" s="284"/>
      <c r="P38" s="298" t="s">
        <v>193</v>
      </c>
      <c r="Q38" s="285"/>
    </row>
    <row r="39" spans="1:17" s="242" customFormat="1" ht="16.5">
      <c r="A39" s="283"/>
      <c r="B39" s="284"/>
      <c r="C39" s="284"/>
      <c r="D39" s="284"/>
      <c r="E39" s="284"/>
      <c r="F39" s="284"/>
      <c r="G39" s="286" t="s">
        <v>298</v>
      </c>
      <c r="H39" s="284"/>
      <c r="I39" s="284"/>
      <c r="J39" s="284"/>
      <c r="K39" s="284"/>
      <c r="L39" s="284"/>
      <c r="M39" s="284"/>
      <c r="N39" s="284"/>
      <c r="O39" s="284"/>
      <c r="P39" s="284"/>
      <c r="Q39" s="285"/>
    </row>
    <row r="40" spans="1:17" s="242" customFormat="1" ht="16.5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5"/>
    </row>
    <row r="41" spans="1:17" s="242" customFormat="1" ht="16.5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5"/>
    </row>
    <row r="42" spans="1:17" s="242" customFormat="1" ht="16.5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5"/>
    </row>
    <row r="43" spans="1:17" s="242" customFormat="1" ht="16.5">
      <c r="A43" s="283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5"/>
    </row>
    <row r="44" spans="1:17" s="242" customFormat="1" ht="16.5">
      <c r="A44" s="283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5"/>
    </row>
    <row r="45" spans="1:17" s="242" customFormat="1" ht="16.5">
      <c r="A45" s="283"/>
      <c r="B45" s="284"/>
      <c r="C45" s="284"/>
      <c r="D45" s="284"/>
      <c r="E45" s="284"/>
      <c r="F45" s="284"/>
      <c r="G45" s="303" t="s">
        <v>304</v>
      </c>
      <c r="H45" s="284"/>
      <c r="I45" s="284"/>
      <c r="J45" s="284"/>
      <c r="K45" s="284"/>
      <c r="L45" s="284"/>
      <c r="M45" s="284"/>
      <c r="N45" s="284"/>
      <c r="O45" s="284"/>
      <c r="P45" s="381" t="s">
        <v>551</v>
      </c>
      <c r="Q45" s="285"/>
    </row>
    <row r="46" spans="1:17" s="242" customFormat="1" ht="16.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9"/>
    </row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8" customFormat="1"/>
  </sheetData>
  <mergeCells count="29">
    <mergeCell ref="F34:M34"/>
    <mergeCell ref="A21:B21"/>
    <mergeCell ref="A25:B25"/>
    <mergeCell ref="A31:B31"/>
    <mergeCell ref="A33:B33"/>
    <mergeCell ref="A29:B29"/>
    <mergeCell ref="A32:B32"/>
    <mergeCell ref="A34:B34"/>
    <mergeCell ref="A22:B22"/>
    <mergeCell ref="A23:B23"/>
    <mergeCell ref="A24:B24"/>
    <mergeCell ref="A26:B26"/>
    <mergeCell ref="A27:B27"/>
    <mergeCell ref="A28:B28"/>
    <mergeCell ref="A20:B20"/>
    <mergeCell ref="A1:Q1"/>
    <mergeCell ref="A2:Q2"/>
    <mergeCell ref="A3:Q3"/>
    <mergeCell ref="J6:Q6"/>
    <mergeCell ref="J8:Q8"/>
    <mergeCell ref="A16:B16"/>
    <mergeCell ref="A17:B17"/>
    <mergeCell ref="A18:B18"/>
    <mergeCell ref="A13:E14"/>
    <mergeCell ref="A15:E15"/>
    <mergeCell ref="F13:M14"/>
    <mergeCell ref="N13:N14"/>
    <mergeCell ref="O13:O14"/>
    <mergeCell ref="Q13:Q14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T188"/>
  <sheetViews>
    <sheetView topLeftCell="A22" zoomScaleSheetLayoutView="90" workbookViewId="0">
      <selection activeCell="Q42" sqref="Q42"/>
    </sheetView>
  </sheetViews>
  <sheetFormatPr defaultRowHeight="15"/>
  <cols>
    <col min="1" max="1" width="2" customWidth="1"/>
    <col min="2" max="2" width="0.7109375" customWidth="1"/>
    <col min="3" max="5" width="3" customWidth="1"/>
    <col min="6" max="6" width="2" customWidth="1"/>
    <col min="7" max="7" width="20.28515625" customWidth="1"/>
    <col min="8" max="8" width="1.5703125" hidden="1" customWidth="1"/>
    <col min="9" max="9" width="3" customWidth="1"/>
    <col min="10" max="10" width="5" customWidth="1"/>
    <col min="11" max="11" width="3.7109375" customWidth="1"/>
    <col min="12" max="12" width="3.28515625" customWidth="1"/>
    <col min="13" max="13" width="4.5703125" customWidth="1"/>
    <col min="14" max="14" width="7.28515625" customWidth="1"/>
    <col min="15" max="15" width="7" customWidth="1"/>
    <col min="16" max="16" width="13.7109375" customWidth="1"/>
    <col min="17" max="17" width="16" customWidth="1"/>
    <col min="19" max="19" width="10.5703125" bestFit="1" customWidth="1"/>
    <col min="20" max="20" width="14" bestFit="1" customWidth="1"/>
  </cols>
  <sheetData>
    <row r="1" spans="1:17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2" customFormat="1" ht="18.75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2" customFormat="1" ht="16.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44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445"/>
    </row>
    <row r="5" spans="1:17" s="242" customFormat="1" ht="16.5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5" customHeight="1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300</v>
      </c>
      <c r="K6" s="851"/>
      <c r="L6" s="851"/>
      <c r="M6" s="851"/>
      <c r="N6" s="851"/>
      <c r="O6" s="851"/>
      <c r="P6" s="851"/>
      <c r="Q6" s="852"/>
    </row>
    <row r="7" spans="1:17" s="242" customFormat="1" ht="15" customHeight="1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492</v>
      </c>
      <c r="K7" s="295"/>
      <c r="L7" s="295"/>
      <c r="M7" s="295"/>
      <c r="N7" s="295"/>
      <c r="O7" s="295"/>
      <c r="P7" s="295"/>
      <c r="Q7" s="296"/>
    </row>
    <row r="8" spans="1:17" s="242" customFormat="1" ht="15" customHeight="1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51" t="s">
        <v>76</v>
      </c>
      <c r="K8" s="851"/>
      <c r="L8" s="851"/>
      <c r="M8" s="851"/>
      <c r="N8" s="851"/>
      <c r="O8" s="851"/>
      <c r="P8" s="851"/>
      <c r="Q8" s="852"/>
    </row>
    <row r="9" spans="1:17" s="242" customFormat="1" ht="15" customHeight="1">
      <c r="A9" s="297" t="s">
        <v>219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298" t="s">
        <v>484</v>
      </c>
      <c r="K9" s="298"/>
      <c r="L9" s="298"/>
      <c r="M9" s="298"/>
      <c r="N9" s="298"/>
      <c r="O9" s="298"/>
      <c r="P9" s="298"/>
      <c r="Q9" s="299"/>
    </row>
    <row r="10" spans="1:17" s="242" customFormat="1" ht="5.25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298"/>
      <c r="K10" s="298"/>
      <c r="L10" s="298"/>
      <c r="M10" s="298"/>
      <c r="N10" s="298"/>
      <c r="O10" s="298"/>
      <c r="P10" s="298"/>
      <c r="Q10" s="299"/>
    </row>
    <row r="11" spans="1:17" s="243" customFormat="1" ht="12.75">
      <c r="A11" s="457" t="s">
        <v>221</v>
      </c>
      <c r="B11" s="395"/>
      <c r="C11" s="395"/>
      <c r="D11" s="395"/>
      <c r="E11" s="395"/>
      <c r="F11" s="395"/>
      <c r="G11" s="382"/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4.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290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291" t="s">
        <v>5</v>
      </c>
      <c r="Q14" s="781"/>
    </row>
    <row r="15" spans="1:17" s="237" customFormat="1" ht="12" customHeight="1">
      <c r="A15" s="864">
        <v>1</v>
      </c>
      <c r="B15" s="865"/>
      <c r="C15" s="865"/>
      <c r="D15" s="865"/>
      <c r="E15" s="866"/>
      <c r="F15" s="864">
        <v>2</v>
      </c>
      <c r="G15" s="865"/>
      <c r="H15" s="865"/>
      <c r="I15" s="865"/>
      <c r="J15" s="865"/>
      <c r="K15" s="865"/>
      <c r="L15" s="865"/>
      <c r="M15" s="866"/>
      <c r="N15" s="239">
        <v>3</v>
      </c>
      <c r="O15" s="239"/>
      <c r="P15" s="239">
        <v>4</v>
      </c>
      <c r="Q15" s="239">
        <v>5</v>
      </c>
    </row>
    <row r="16" spans="1:17" s="383" customFormat="1" ht="15" customHeight="1">
      <c r="A16" s="879">
        <v>2</v>
      </c>
      <c r="B16" s="880"/>
      <c r="C16" s="253">
        <v>1</v>
      </c>
      <c r="D16" s="253">
        <v>12</v>
      </c>
      <c r="E16" s="253">
        <v>2</v>
      </c>
      <c r="F16" s="432" t="s">
        <v>14</v>
      </c>
      <c r="G16" s="378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SUM(Q17+Q22+Q27)</f>
        <v>2499000</v>
      </c>
    </row>
    <row r="17" spans="1:20" s="242" customFormat="1" ht="15" customHeight="1">
      <c r="A17" s="877"/>
      <c r="B17" s="878"/>
      <c r="C17" s="408"/>
      <c r="D17" s="408"/>
      <c r="E17" s="408"/>
      <c r="F17" s="407"/>
      <c r="G17" s="318" t="s">
        <v>202</v>
      </c>
      <c r="H17" s="309"/>
      <c r="I17" s="415"/>
      <c r="J17" s="415"/>
      <c r="K17" s="415"/>
      <c r="L17" s="415"/>
      <c r="M17" s="416"/>
      <c r="N17" s="408"/>
      <c r="O17" s="408"/>
      <c r="P17" s="417"/>
      <c r="Q17" s="434">
        <f>SUM(Q18:Q20)</f>
        <v>2275000</v>
      </c>
      <c r="S17" s="311"/>
    </row>
    <row r="18" spans="1:20" s="242" customFormat="1" ht="15" customHeight="1">
      <c r="A18" s="877"/>
      <c r="B18" s="878"/>
      <c r="C18" s="408"/>
      <c r="D18" s="408"/>
      <c r="E18" s="408"/>
      <c r="F18" s="407"/>
      <c r="G18" s="309" t="s">
        <v>49</v>
      </c>
      <c r="H18" s="309"/>
      <c r="I18" s="415">
        <v>1</v>
      </c>
      <c r="J18" s="415" t="s">
        <v>17</v>
      </c>
      <c r="K18" s="415" t="s">
        <v>20</v>
      </c>
      <c r="L18" s="415">
        <v>1</v>
      </c>
      <c r="M18" s="416" t="s">
        <v>43</v>
      </c>
      <c r="N18" s="408">
        <f>I18*L18</f>
        <v>1</v>
      </c>
      <c r="O18" s="408" t="s">
        <v>43</v>
      </c>
      <c r="P18" s="417">
        <v>250000</v>
      </c>
      <c r="Q18" s="417">
        <f>N18*P18</f>
        <v>250000</v>
      </c>
      <c r="S18" s="311"/>
    </row>
    <row r="19" spans="1:20" s="242" customFormat="1" ht="15" customHeight="1">
      <c r="A19" s="407"/>
      <c r="B19" s="416"/>
      <c r="C19" s="408"/>
      <c r="D19" s="408"/>
      <c r="E19" s="408"/>
      <c r="F19" s="407"/>
      <c r="G19" s="309" t="s">
        <v>66</v>
      </c>
      <c r="H19" s="309"/>
      <c r="I19" s="415">
        <v>1</v>
      </c>
      <c r="J19" s="415" t="s">
        <v>17</v>
      </c>
      <c r="K19" s="415" t="s">
        <v>20</v>
      </c>
      <c r="L19" s="415">
        <v>1</v>
      </c>
      <c r="M19" s="416" t="s">
        <v>43</v>
      </c>
      <c r="N19" s="408">
        <v>1</v>
      </c>
      <c r="O19" s="408" t="s">
        <v>43</v>
      </c>
      <c r="P19" s="417">
        <v>225000</v>
      </c>
      <c r="Q19" s="417">
        <f>N19*P19</f>
        <v>225000</v>
      </c>
      <c r="S19" s="311"/>
    </row>
    <row r="20" spans="1:20" s="242" customFormat="1" ht="15" customHeight="1">
      <c r="A20" s="877"/>
      <c r="B20" s="878"/>
      <c r="C20" s="408"/>
      <c r="D20" s="408"/>
      <c r="E20" s="408"/>
      <c r="F20" s="407"/>
      <c r="G20" s="309" t="s">
        <v>50</v>
      </c>
      <c r="H20" s="309"/>
      <c r="I20" s="415">
        <v>9</v>
      </c>
      <c r="J20" s="415" t="s">
        <v>17</v>
      </c>
      <c r="K20" s="415" t="s">
        <v>20</v>
      </c>
      <c r="L20" s="415">
        <v>1</v>
      </c>
      <c r="M20" s="416" t="s">
        <v>43</v>
      </c>
      <c r="N20" s="408">
        <f>I20*L20</f>
        <v>9</v>
      </c>
      <c r="O20" s="408" t="s">
        <v>43</v>
      </c>
      <c r="P20" s="417">
        <v>200000</v>
      </c>
      <c r="Q20" s="417">
        <f>N20*P20</f>
        <v>1800000</v>
      </c>
    </row>
    <row r="21" spans="1:20" s="242" customFormat="1" ht="15" customHeight="1">
      <c r="A21" s="877"/>
      <c r="B21" s="878"/>
      <c r="C21" s="408"/>
      <c r="D21" s="408"/>
      <c r="E21" s="408"/>
      <c r="F21" s="407"/>
      <c r="G21" s="309"/>
      <c r="H21" s="309"/>
      <c r="I21" s="415"/>
      <c r="J21" s="415"/>
      <c r="K21" s="415"/>
      <c r="L21" s="415"/>
      <c r="M21" s="416"/>
      <c r="N21" s="408"/>
      <c r="O21" s="408"/>
      <c r="P21" s="417"/>
      <c r="Q21" s="417"/>
    </row>
    <row r="22" spans="1:20" s="242" customFormat="1" ht="15" customHeight="1">
      <c r="A22" s="877"/>
      <c r="B22" s="878"/>
      <c r="C22" s="408"/>
      <c r="D22" s="408"/>
      <c r="E22" s="408"/>
      <c r="F22" s="435" t="s">
        <v>14</v>
      </c>
      <c r="G22" s="436" t="s">
        <v>77</v>
      </c>
      <c r="H22" s="309"/>
      <c r="I22" s="415"/>
      <c r="J22" s="415"/>
      <c r="K22" s="415"/>
      <c r="L22" s="415"/>
      <c r="M22" s="416"/>
      <c r="N22" s="408"/>
      <c r="O22" s="408"/>
      <c r="P22" s="417"/>
      <c r="Q22" s="434">
        <f>SUM(Q23:Q25)</f>
        <v>124000</v>
      </c>
    </row>
    <row r="23" spans="1:20" s="242" customFormat="1" ht="15" customHeight="1">
      <c r="A23" s="877"/>
      <c r="B23" s="878"/>
      <c r="C23" s="408"/>
      <c r="D23" s="408"/>
      <c r="E23" s="408"/>
      <c r="F23" s="407"/>
      <c r="G23" s="309" t="s">
        <v>31</v>
      </c>
      <c r="H23" s="309"/>
      <c r="I23" s="309"/>
      <c r="J23" s="309"/>
      <c r="K23" s="415"/>
      <c r="L23" s="415"/>
      <c r="M23" s="416"/>
      <c r="N23" s="408">
        <v>1</v>
      </c>
      <c r="O23" s="408" t="s">
        <v>191</v>
      </c>
      <c r="P23" s="417">
        <v>49000</v>
      </c>
      <c r="Q23" s="417">
        <f>N23*P23</f>
        <v>49000</v>
      </c>
    </row>
    <row r="24" spans="1:20" s="242" customFormat="1" ht="15" customHeight="1">
      <c r="A24" s="877"/>
      <c r="B24" s="878"/>
      <c r="C24" s="408"/>
      <c r="D24" s="408"/>
      <c r="E24" s="408"/>
      <c r="F24" s="407"/>
      <c r="G24" s="309" t="s">
        <v>471</v>
      </c>
      <c r="H24" s="309"/>
      <c r="I24" s="309"/>
      <c r="J24" s="309"/>
      <c r="K24" s="415"/>
      <c r="L24" s="415"/>
      <c r="M24" s="416"/>
      <c r="N24" s="408">
        <v>1</v>
      </c>
      <c r="O24" s="408" t="s">
        <v>53</v>
      </c>
      <c r="P24" s="417">
        <v>22500</v>
      </c>
      <c r="Q24" s="417">
        <f>N24*P24</f>
        <v>22500</v>
      </c>
    </row>
    <row r="25" spans="1:20" s="242" customFormat="1" ht="15" customHeight="1">
      <c r="A25" s="877"/>
      <c r="B25" s="878"/>
      <c r="C25" s="408"/>
      <c r="D25" s="408"/>
      <c r="E25" s="408"/>
      <c r="F25" s="407"/>
      <c r="G25" s="309" t="s">
        <v>493</v>
      </c>
      <c r="H25" s="309"/>
      <c r="I25" s="309"/>
      <c r="J25" s="309"/>
      <c r="K25" s="415"/>
      <c r="L25" s="415"/>
      <c r="M25" s="416"/>
      <c r="N25" s="408">
        <v>7</v>
      </c>
      <c r="O25" s="408" t="s">
        <v>176</v>
      </c>
      <c r="P25" s="417">
        <v>7500</v>
      </c>
      <c r="Q25" s="417">
        <f>N25*P25</f>
        <v>52500</v>
      </c>
    </row>
    <row r="26" spans="1:20" s="242" customFormat="1" ht="15" customHeight="1">
      <c r="A26" s="407"/>
      <c r="B26" s="416"/>
      <c r="C26" s="408"/>
      <c r="D26" s="408"/>
      <c r="E26" s="408"/>
      <c r="F26" s="407"/>
      <c r="G26" s="309"/>
      <c r="H26" s="309"/>
      <c r="I26" s="309"/>
      <c r="J26" s="309"/>
      <c r="K26" s="415"/>
      <c r="L26" s="415"/>
      <c r="M26" s="416"/>
      <c r="N26" s="408"/>
      <c r="O26" s="408"/>
      <c r="P26" s="417"/>
      <c r="Q26" s="417"/>
      <c r="T26" s="242">
        <f>50000/300</f>
        <v>166.66666666666666</v>
      </c>
    </row>
    <row r="27" spans="1:20" s="242" customFormat="1" ht="15" customHeight="1">
      <c r="A27" s="877"/>
      <c r="B27" s="878"/>
      <c r="C27" s="408"/>
      <c r="D27" s="408"/>
      <c r="E27" s="408"/>
      <c r="F27" s="458" t="s">
        <v>14</v>
      </c>
      <c r="G27" s="318" t="s">
        <v>68</v>
      </c>
      <c r="H27" s="309"/>
      <c r="I27" s="309"/>
      <c r="J27" s="309"/>
      <c r="K27" s="415"/>
      <c r="L27" s="415"/>
      <c r="M27" s="416"/>
      <c r="N27" s="408"/>
      <c r="O27" s="408"/>
      <c r="P27" s="459"/>
      <c r="Q27" s="434">
        <f>SUM(Q28:Q29)</f>
        <v>100000</v>
      </c>
    </row>
    <row r="28" spans="1:20" s="242" customFormat="1" ht="15" customHeight="1">
      <c r="A28" s="877"/>
      <c r="B28" s="878"/>
      <c r="C28" s="408"/>
      <c r="D28" s="408"/>
      <c r="E28" s="408"/>
      <c r="F28" s="407"/>
      <c r="G28" s="309" t="s">
        <v>69</v>
      </c>
      <c r="H28" s="309"/>
      <c r="I28" s="309"/>
      <c r="J28" s="309"/>
      <c r="K28" s="309"/>
      <c r="L28" s="309"/>
      <c r="M28" s="460"/>
      <c r="N28" s="408">
        <v>300</v>
      </c>
      <c r="O28" s="408" t="s">
        <v>38</v>
      </c>
      <c r="P28" s="413">
        <v>300</v>
      </c>
      <c r="Q28" s="417">
        <f>SUM(N28*P28)</f>
        <v>90000</v>
      </c>
    </row>
    <row r="29" spans="1:20" s="242" customFormat="1" ht="15" customHeight="1">
      <c r="A29" s="884"/>
      <c r="B29" s="885"/>
      <c r="C29" s="420"/>
      <c r="D29" s="420"/>
      <c r="E29" s="420"/>
      <c r="F29" s="419"/>
      <c r="G29" s="325" t="s">
        <v>196</v>
      </c>
      <c r="H29" s="325"/>
      <c r="I29" s="325"/>
      <c r="J29" s="325"/>
      <c r="K29" s="325"/>
      <c r="L29" s="325"/>
      <c r="M29" s="463"/>
      <c r="N29" s="408">
        <v>2</v>
      </c>
      <c r="O29" s="408" t="s">
        <v>176</v>
      </c>
      <c r="P29" s="413">
        <v>5000</v>
      </c>
      <c r="Q29" s="417">
        <f>SUM(N29*P29)</f>
        <v>10000</v>
      </c>
    </row>
    <row r="30" spans="1:20" s="242" customFormat="1" ht="15" customHeight="1">
      <c r="A30" s="437"/>
      <c r="B30" s="440"/>
      <c r="C30" s="438"/>
      <c r="D30" s="438"/>
      <c r="E30" s="438"/>
      <c r="F30" s="437"/>
      <c r="G30" s="376"/>
      <c r="H30" s="376"/>
      <c r="I30" s="376"/>
      <c r="J30" s="376"/>
      <c r="K30" s="376"/>
      <c r="L30" s="376"/>
      <c r="M30" s="461"/>
      <c r="N30" s="438"/>
      <c r="O30" s="438"/>
      <c r="P30" s="462"/>
      <c r="Q30" s="441"/>
      <c r="T30" s="271">
        <v>2498990</v>
      </c>
    </row>
    <row r="31" spans="1:20" s="242" customFormat="1" ht="15" customHeight="1">
      <c r="A31" s="768"/>
      <c r="B31" s="883"/>
      <c r="C31" s="426"/>
      <c r="D31" s="426"/>
      <c r="E31" s="426"/>
      <c r="F31" s="760" t="s">
        <v>163</v>
      </c>
      <c r="G31" s="761"/>
      <c r="H31" s="761"/>
      <c r="I31" s="761"/>
      <c r="J31" s="761"/>
      <c r="K31" s="761"/>
      <c r="L31" s="761"/>
      <c r="M31" s="764"/>
      <c r="N31" s="442"/>
      <c r="O31" s="442"/>
      <c r="P31" s="442"/>
      <c r="Q31" s="429">
        <f>SUM(Q27+Q22+Q17)</f>
        <v>2499000</v>
      </c>
      <c r="T31" s="282">
        <f>Q31-T30</f>
        <v>10</v>
      </c>
    </row>
    <row r="32" spans="1:20" s="242" customFormat="1" ht="16.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/>
    </row>
    <row r="33" spans="1:17" s="242" customFormat="1" ht="16.5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5"/>
    </row>
    <row r="34" spans="1:17" s="242" customFormat="1" ht="16.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 t="s">
        <v>553</v>
      </c>
      <c r="Q34" s="285"/>
    </row>
    <row r="35" spans="1:17" s="242" customFormat="1" ht="16.5">
      <c r="A35" s="283"/>
      <c r="B35" s="284"/>
      <c r="C35" s="284"/>
      <c r="D35" s="284"/>
      <c r="E35" s="284"/>
      <c r="F35" s="284"/>
      <c r="G35" s="286" t="s">
        <v>168</v>
      </c>
      <c r="H35" s="284"/>
      <c r="I35" s="284"/>
      <c r="J35" s="284"/>
      <c r="K35" s="284"/>
      <c r="L35" s="284"/>
      <c r="M35" s="284"/>
      <c r="N35" s="284"/>
      <c r="O35" s="284"/>
      <c r="P35" s="298" t="s">
        <v>193</v>
      </c>
      <c r="Q35" s="285"/>
    </row>
    <row r="36" spans="1:17" s="242" customFormat="1" ht="16.5">
      <c r="A36" s="283"/>
      <c r="B36" s="284"/>
      <c r="C36" s="284"/>
      <c r="D36" s="284"/>
      <c r="E36" s="284"/>
      <c r="F36" s="284"/>
      <c r="G36" s="286" t="s">
        <v>403</v>
      </c>
      <c r="H36" s="284"/>
      <c r="I36" s="284"/>
      <c r="J36" s="284"/>
      <c r="K36" s="284"/>
      <c r="L36" s="284"/>
      <c r="M36" s="284"/>
      <c r="N36" s="284"/>
      <c r="O36" s="284"/>
      <c r="P36" s="284"/>
      <c r="Q36" s="285"/>
    </row>
    <row r="37" spans="1:17" s="242" customFormat="1" ht="16.5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5"/>
    </row>
    <row r="38" spans="1:17" s="242" customFormat="1" ht="16.5">
      <c r="A38" s="283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5"/>
    </row>
    <row r="39" spans="1:17" s="242" customFormat="1" ht="16.5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5"/>
    </row>
    <row r="40" spans="1:17" s="242" customFormat="1" ht="16.5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5"/>
    </row>
    <row r="41" spans="1:17" s="242" customFormat="1" ht="16.5">
      <c r="A41" s="283"/>
      <c r="B41" s="284"/>
      <c r="C41" s="284"/>
      <c r="D41" s="284"/>
      <c r="E41" s="284"/>
      <c r="F41" s="284"/>
      <c r="G41" s="303" t="s">
        <v>299</v>
      </c>
      <c r="H41" s="284"/>
      <c r="I41" s="284"/>
      <c r="J41" s="284"/>
      <c r="K41" s="284"/>
      <c r="L41" s="284"/>
      <c r="M41" s="284"/>
      <c r="N41" s="284"/>
      <c r="O41" s="284"/>
      <c r="P41" s="381" t="s">
        <v>551</v>
      </c>
      <c r="Q41" s="285"/>
    </row>
    <row r="42" spans="1:17" s="242" customFormat="1" ht="16.5">
      <c r="A42" s="287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9"/>
    </row>
    <row r="43" spans="1:17" s="242" customFormat="1" ht="16.5"/>
    <row r="44" spans="1:17" s="242" customFormat="1" ht="16.5"/>
    <row r="45" spans="1:17" s="242" customFormat="1" ht="16.5"/>
    <row r="46" spans="1:17" s="242" customFormat="1" ht="16.5"/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37" customFormat="1" ht="13.5"/>
    <row r="180" s="237" customFormat="1" ht="13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8" customFormat="1"/>
  </sheetData>
  <mergeCells count="26">
    <mergeCell ref="F31:M31"/>
    <mergeCell ref="F13:M14"/>
    <mergeCell ref="N13:N14"/>
    <mergeCell ref="O13:O14"/>
    <mergeCell ref="Q13:Q14"/>
    <mergeCell ref="F15:M15"/>
    <mergeCell ref="A31:B31"/>
    <mergeCell ref="A23:B23"/>
    <mergeCell ref="A24:B24"/>
    <mergeCell ref="A25:B25"/>
    <mergeCell ref="A27:B27"/>
    <mergeCell ref="A28:B28"/>
    <mergeCell ref="A29:B29"/>
    <mergeCell ref="A22:B22"/>
    <mergeCell ref="A13:E14"/>
    <mergeCell ref="A15:E15"/>
    <mergeCell ref="A16:B16"/>
    <mergeCell ref="A17:B17"/>
    <mergeCell ref="A18:B18"/>
    <mergeCell ref="A20:B20"/>
    <mergeCell ref="A21:B21"/>
    <mergeCell ref="J8:Q8"/>
    <mergeCell ref="A1:Q1"/>
    <mergeCell ref="A2:Q2"/>
    <mergeCell ref="A3:Q3"/>
    <mergeCell ref="J6:Q6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S192"/>
  <sheetViews>
    <sheetView topLeftCell="A17" zoomScaleSheetLayoutView="90" workbookViewId="0">
      <selection activeCell="Q17" sqref="Q17"/>
    </sheetView>
  </sheetViews>
  <sheetFormatPr defaultRowHeight="15"/>
  <cols>
    <col min="1" max="1" width="2" customWidth="1"/>
    <col min="2" max="2" width="0.85546875" customWidth="1"/>
    <col min="3" max="5" width="3.140625" customWidth="1"/>
    <col min="6" max="6" width="1.5703125" customWidth="1"/>
    <col min="7" max="7" width="20.28515625" customWidth="1"/>
    <col min="8" max="8" width="1.5703125" hidden="1" customWidth="1"/>
    <col min="9" max="9" width="3.28515625" customWidth="1"/>
    <col min="10" max="10" width="5" customWidth="1"/>
    <col min="11" max="11" width="3.140625" customWidth="1"/>
    <col min="12" max="12" width="3.42578125" customWidth="1"/>
    <col min="13" max="13" width="4.28515625" customWidth="1"/>
    <col min="14" max="15" width="7.140625" customWidth="1"/>
    <col min="16" max="16" width="13.140625" customWidth="1"/>
    <col min="17" max="17" width="15.7109375" customWidth="1"/>
    <col min="19" max="19" width="10.5703125" bestFit="1" customWidth="1"/>
    <col min="20" max="20" width="10" bestFit="1" customWidth="1"/>
  </cols>
  <sheetData>
    <row r="1" spans="1:17" s="247" customFormat="1" ht="18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7" customFormat="1" ht="18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9" customFormat="1" ht="15.7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44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445"/>
    </row>
    <row r="5" spans="1:17" s="242" customFormat="1" ht="16.5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6.5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300</v>
      </c>
      <c r="K6" s="851"/>
      <c r="L6" s="851"/>
      <c r="M6" s="851"/>
      <c r="N6" s="851"/>
      <c r="O6" s="851"/>
      <c r="P6" s="851"/>
      <c r="Q6" s="852"/>
    </row>
    <row r="7" spans="1:17" s="242" customFormat="1" ht="16.5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313</v>
      </c>
      <c r="K7" s="295"/>
      <c r="L7" s="295"/>
      <c r="M7" s="295"/>
      <c r="N7" s="295"/>
      <c r="O7" s="295"/>
      <c r="P7" s="295"/>
      <c r="Q7" s="296"/>
    </row>
    <row r="8" spans="1:17" s="242" customFormat="1" ht="16.5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51" t="s">
        <v>76</v>
      </c>
      <c r="K8" s="851"/>
      <c r="L8" s="851"/>
      <c r="M8" s="851"/>
      <c r="N8" s="851"/>
      <c r="O8" s="851"/>
      <c r="P8" s="851"/>
      <c r="Q8" s="852"/>
    </row>
    <row r="9" spans="1:17" s="242" customFormat="1" ht="16.5">
      <c r="A9" s="297" t="s">
        <v>219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298" t="s">
        <v>288</v>
      </c>
      <c r="K9" s="298"/>
      <c r="L9" s="298"/>
      <c r="M9" s="298"/>
      <c r="N9" s="298"/>
      <c r="O9" s="298"/>
      <c r="P9" s="298"/>
      <c r="Q9" s="299"/>
    </row>
    <row r="10" spans="1:17" s="242" customFormat="1" ht="5.25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298"/>
      <c r="K10" s="298"/>
      <c r="L10" s="298"/>
      <c r="M10" s="298"/>
      <c r="N10" s="298"/>
      <c r="O10" s="298"/>
      <c r="P10" s="298"/>
      <c r="Q10" s="299"/>
    </row>
    <row r="11" spans="1:17" s="243" customFormat="1" ht="12.75">
      <c r="A11" s="457" t="s">
        <v>218</v>
      </c>
      <c r="B11" s="395"/>
      <c r="C11" s="395"/>
      <c r="D11" s="395"/>
      <c r="E11" s="395"/>
      <c r="F11" s="395"/>
      <c r="G11" s="397" t="s">
        <v>12</v>
      </c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4.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.7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290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291" t="s">
        <v>5</v>
      </c>
      <c r="Q14" s="781"/>
    </row>
    <row r="15" spans="1:17" s="237" customFormat="1" ht="15.75" customHeight="1">
      <c r="A15" s="864">
        <v>1</v>
      </c>
      <c r="B15" s="865"/>
      <c r="C15" s="865"/>
      <c r="D15" s="865"/>
      <c r="E15" s="866"/>
      <c r="F15" s="864">
        <v>2</v>
      </c>
      <c r="G15" s="865"/>
      <c r="H15" s="865"/>
      <c r="I15" s="865"/>
      <c r="J15" s="865"/>
      <c r="K15" s="865"/>
      <c r="L15" s="865"/>
      <c r="M15" s="866"/>
      <c r="N15" s="239">
        <v>3</v>
      </c>
      <c r="O15" s="239"/>
      <c r="P15" s="239">
        <v>4</v>
      </c>
      <c r="Q15" s="239">
        <v>5</v>
      </c>
    </row>
    <row r="16" spans="1:17" s="383" customFormat="1" ht="15" customHeight="1">
      <c r="A16" s="879">
        <v>2</v>
      </c>
      <c r="B16" s="880"/>
      <c r="C16" s="253">
        <v>1</v>
      </c>
      <c r="D16" s="253">
        <v>13</v>
      </c>
      <c r="E16" s="253">
        <v>2</v>
      </c>
      <c r="F16" s="432" t="s">
        <v>14</v>
      </c>
      <c r="G16" s="378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SUM(Q17+Q22+Q26+Q31)</f>
        <v>3061500</v>
      </c>
    </row>
    <row r="17" spans="1:19" s="242" customFormat="1" ht="15" customHeight="1">
      <c r="A17" s="873"/>
      <c r="B17" s="874"/>
      <c r="C17" s="258"/>
      <c r="D17" s="258"/>
      <c r="E17" s="258"/>
      <c r="F17" s="257"/>
      <c r="G17" s="261" t="s">
        <v>202</v>
      </c>
      <c r="H17" s="260"/>
      <c r="I17" s="265"/>
      <c r="J17" s="265"/>
      <c r="K17" s="265"/>
      <c r="L17" s="265"/>
      <c r="M17" s="266"/>
      <c r="N17" s="258"/>
      <c r="O17" s="258"/>
      <c r="P17" s="267"/>
      <c r="Q17" s="320">
        <f>SUM(Q18:Q20)</f>
        <v>1550000</v>
      </c>
      <c r="S17" s="311"/>
    </row>
    <row r="18" spans="1:19" s="242" customFormat="1" ht="15" customHeight="1">
      <c r="A18" s="873"/>
      <c r="B18" s="874"/>
      <c r="C18" s="258"/>
      <c r="D18" s="258"/>
      <c r="E18" s="258"/>
      <c r="F18" s="257"/>
      <c r="G18" s="260" t="s">
        <v>49</v>
      </c>
      <c r="H18" s="260"/>
      <c r="I18" s="265">
        <v>1</v>
      </c>
      <c r="J18" s="265" t="s">
        <v>17</v>
      </c>
      <c r="K18" s="265" t="s">
        <v>20</v>
      </c>
      <c r="L18" s="265">
        <v>1</v>
      </c>
      <c r="M18" s="266" t="s">
        <v>43</v>
      </c>
      <c r="N18" s="258">
        <f>I18*L18</f>
        <v>1</v>
      </c>
      <c r="O18" s="258" t="s">
        <v>43</v>
      </c>
      <c r="P18" s="267">
        <v>300000</v>
      </c>
      <c r="Q18" s="267">
        <f>N18*P18</f>
        <v>300000</v>
      </c>
      <c r="S18" s="311"/>
    </row>
    <row r="19" spans="1:19" s="242" customFormat="1" ht="15" customHeight="1">
      <c r="A19" s="257"/>
      <c r="B19" s="266"/>
      <c r="C19" s="258"/>
      <c r="D19" s="258"/>
      <c r="E19" s="258"/>
      <c r="F19" s="257"/>
      <c r="G19" s="260" t="s">
        <v>66</v>
      </c>
      <c r="H19" s="260"/>
      <c r="I19" s="265">
        <v>1</v>
      </c>
      <c r="J19" s="265" t="s">
        <v>17</v>
      </c>
      <c r="K19" s="265" t="s">
        <v>20</v>
      </c>
      <c r="L19" s="265">
        <v>1</v>
      </c>
      <c r="M19" s="266" t="s">
        <v>43</v>
      </c>
      <c r="N19" s="258">
        <f>I19*L19</f>
        <v>1</v>
      </c>
      <c r="O19" s="258" t="s">
        <v>43</v>
      </c>
      <c r="P19" s="267">
        <v>250000</v>
      </c>
      <c r="Q19" s="267">
        <f>N19*P19</f>
        <v>250000</v>
      </c>
      <c r="S19" s="311"/>
    </row>
    <row r="20" spans="1:19" s="242" customFormat="1" ht="15" customHeight="1">
      <c r="A20" s="873"/>
      <c r="B20" s="874"/>
      <c r="C20" s="258"/>
      <c r="D20" s="258"/>
      <c r="E20" s="258"/>
      <c r="F20" s="257"/>
      <c r="G20" s="260" t="s">
        <v>50</v>
      </c>
      <c r="H20" s="260"/>
      <c r="I20" s="265">
        <v>4</v>
      </c>
      <c r="J20" s="265" t="s">
        <v>17</v>
      </c>
      <c r="K20" s="265" t="s">
        <v>20</v>
      </c>
      <c r="L20" s="265">
        <v>1</v>
      </c>
      <c r="M20" s="266" t="s">
        <v>43</v>
      </c>
      <c r="N20" s="258">
        <f>I20*L20</f>
        <v>4</v>
      </c>
      <c r="O20" s="258" t="s">
        <v>43</v>
      </c>
      <c r="P20" s="267">
        <v>250000</v>
      </c>
      <c r="Q20" s="267">
        <f>N20*P20</f>
        <v>1000000</v>
      </c>
    </row>
    <row r="21" spans="1:19" s="242" customFormat="1" ht="15" customHeight="1">
      <c r="A21" s="873"/>
      <c r="B21" s="874"/>
      <c r="C21" s="258"/>
      <c r="D21" s="258"/>
      <c r="E21" s="258"/>
      <c r="F21" s="257"/>
      <c r="G21" s="260"/>
      <c r="H21" s="260"/>
      <c r="I21" s="265"/>
      <c r="J21" s="265"/>
      <c r="K21" s="265"/>
      <c r="L21" s="265"/>
      <c r="M21" s="266"/>
      <c r="N21" s="258"/>
      <c r="O21" s="258"/>
      <c r="P21" s="267"/>
      <c r="Q21" s="267"/>
    </row>
    <row r="22" spans="1:19" s="242" customFormat="1" ht="15" customHeight="1">
      <c r="A22" s="873"/>
      <c r="B22" s="874"/>
      <c r="C22" s="258"/>
      <c r="D22" s="258"/>
      <c r="E22" s="258"/>
      <c r="F22" s="447" t="s">
        <v>14</v>
      </c>
      <c r="G22" s="310" t="s">
        <v>51</v>
      </c>
      <c r="H22" s="260"/>
      <c r="I22" s="265"/>
      <c r="J22" s="265"/>
      <c r="K22" s="265"/>
      <c r="L22" s="265"/>
      <c r="M22" s="266"/>
      <c r="N22" s="258"/>
      <c r="O22" s="258"/>
      <c r="P22" s="267"/>
      <c r="Q22" s="320">
        <f>SUM(Q23:Q24)</f>
        <v>1225000</v>
      </c>
    </row>
    <row r="23" spans="1:19" s="242" customFormat="1" ht="15" customHeight="1">
      <c r="A23" s="873"/>
      <c r="B23" s="874"/>
      <c r="C23" s="258"/>
      <c r="D23" s="258"/>
      <c r="E23" s="258"/>
      <c r="F23" s="257"/>
      <c r="G23" s="260" t="s">
        <v>52</v>
      </c>
      <c r="H23" s="260"/>
      <c r="I23" s="265">
        <v>35</v>
      </c>
      <c r="J23" s="260" t="s">
        <v>53</v>
      </c>
      <c r="K23" s="265" t="s">
        <v>20</v>
      </c>
      <c r="L23" s="265">
        <v>1</v>
      </c>
      <c r="M23" s="266" t="s">
        <v>43</v>
      </c>
      <c r="N23" s="258">
        <f>I23*L23</f>
        <v>35</v>
      </c>
      <c r="O23" s="258" t="s">
        <v>53</v>
      </c>
      <c r="P23" s="267">
        <v>25000</v>
      </c>
      <c r="Q23" s="267">
        <f>N23*P23</f>
        <v>875000</v>
      </c>
    </row>
    <row r="24" spans="1:19" s="242" customFormat="1" ht="15" customHeight="1">
      <c r="A24" s="873"/>
      <c r="B24" s="874"/>
      <c r="C24" s="258"/>
      <c r="D24" s="258"/>
      <c r="E24" s="258"/>
      <c r="F24" s="257"/>
      <c r="G24" s="260" t="s">
        <v>54</v>
      </c>
      <c r="H24" s="260"/>
      <c r="I24" s="265">
        <v>35</v>
      </c>
      <c r="J24" s="260" t="s">
        <v>53</v>
      </c>
      <c r="K24" s="265" t="s">
        <v>20</v>
      </c>
      <c r="L24" s="265">
        <v>1</v>
      </c>
      <c r="M24" s="266" t="s">
        <v>43</v>
      </c>
      <c r="N24" s="258">
        <f>I24*L24</f>
        <v>35</v>
      </c>
      <c r="O24" s="258" t="s">
        <v>53</v>
      </c>
      <c r="P24" s="267">
        <v>10000</v>
      </c>
      <c r="Q24" s="267">
        <f>N24*P24</f>
        <v>350000</v>
      </c>
    </row>
    <row r="25" spans="1:19" s="242" customFormat="1" ht="15" customHeight="1">
      <c r="A25" s="873"/>
      <c r="B25" s="874"/>
      <c r="C25" s="258"/>
      <c r="D25" s="258"/>
      <c r="E25" s="258"/>
      <c r="F25" s="257"/>
      <c r="G25" s="260"/>
      <c r="H25" s="260"/>
      <c r="I25" s="260"/>
      <c r="J25" s="260"/>
      <c r="K25" s="265"/>
      <c r="L25" s="265"/>
      <c r="M25" s="266"/>
      <c r="N25" s="258"/>
      <c r="O25" s="258"/>
      <c r="P25" s="267"/>
      <c r="Q25" s="267"/>
    </row>
    <row r="26" spans="1:19" s="242" customFormat="1" ht="15" customHeight="1">
      <c r="A26" s="873"/>
      <c r="B26" s="874"/>
      <c r="C26" s="258"/>
      <c r="D26" s="258"/>
      <c r="E26" s="258"/>
      <c r="F26" s="447" t="s">
        <v>14</v>
      </c>
      <c r="G26" s="310" t="s">
        <v>77</v>
      </c>
      <c r="H26" s="260"/>
      <c r="I26" s="265"/>
      <c r="J26" s="265"/>
      <c r="K26" s="265"/>
      <c r="L26" s="265"/>
      <c r="M26" s="266"/>
      <c r="N26" s="258"/>
      <c r="O26" s="258"/>
      <c r="P26" s="267"/>
      <c r="Q26" s="320">
        <f>SUM(Q27:Q29)</f>
        <v>86500</v>
      </c>
    </row>
    <row r="27" spans="1:19" s="242" customFormat="1" ht="15" customHeight="1">
      <c r="A27" s="873"/>
      <c r="B27" s="874"/>
      <c r="C27" s="258"/>
      <c r="D27" s="258"/>
      <c r="E27" s="258"/>
      <c r="F27" s="257"/>
      <c r="G27" s="260" t="s">
        <v>31</v>
      </c>
      <c r="H27" s="260"/>
      <c r="I27" s="260"/>
      <c r="J27" s="260"/>
      <c r="K27" s="265"/>
      <c r="L27" s="265"/>
      <c r="M27" s="266"/>
      <c r="N27" s="258">
        <v>1</v>
      </c>
      <c r="O27" s="258" t="s">
        <v>191</v>
      </c>
      <c r="P27" s="267">
        <v>49000</v>
      </c>
      <c r="Q27" s="267">
        <f>N27*P27</f>
        <v>49000</v>
      </c>
    </row>
    <row r="28" spans="1:19" s="242" customFormat="1" ht="15" customHeight="1">
      <c r="A28" s="873"/>
      <c r="B28" s="874"/>
      <c r="C28" s="258"/>
      <c r="D28" s="258"/>
      <c r="E28" s="258"/>
      <c r="F28" s="257"/>
      <c r="G28" s="260" t="s">
        <v>33</v>
      </c>
      <c r="H28" s="260"/>
      <c r="I28" s="260"/>
      <c r="J28" s="260"/>
      <c r="K28" s="265"/>
      <c r="L28" s="265"/>
      <c r="M28" s="266"/>
      <c r="N28" s="258">
        <v>1</v>
      </c>
      <c r="O28" s="258" t="s">
        <v>53</v>
      </c>
      <c r="P28" s="267">
        <v>22500</v>
      </c>
      <c r="Q28" s="267">
        <f>N28*P28</f>
        <v>22500</v>
      </c>
    </row>
    <row r="29" spans="1:19" s="242" customFormat="1" ht="15" customHeight="1">
      <c r="A29" s="873"/>
      <c r="B29" s="874"/>
      <c r="C29" s="258"/>
      <c r="D29" s="258"/>
      <c r="E29" s="258"/>
      <c r="F29" s="257"/>
      <c r="G29" s="260" t="s">
        <v>32</v>
      </c>
      <c r="H29" s="260"/>
      <c r="I29" s="260"/>
      <c r="J29" s="260"/>
      <c r="K29" s="265"/>
      <c r="L29" s="265"/>
      <c r="M29" s="266"/>
      <c r="N29" s="258">
        <v>1</v>
      </c>
      <c r="O29" s="258" t="s">
        <v>55</v>
      </c>
      <c r="P29" s="267">
        <v>15000</v>
      </c>
      <c r="Q29" s="267">
        <f>N29*P29</f>
        <v>15000</v>
      </c>
    </row>
    <row r="30" spans="1:19" s="242" customFormat="1" ht="15" customHeight="1">
      <c r="A30" s="257"/>
      <c r="B30" s="266"/>
      <c r="C30" s="258"/>
      <c r="D30" s="258"/>
      <c r="E30" s="258"/>
      <c r="F30" s="257"/>
      <c r="G30" s="260"/>
      <c r="H30" s="260"/>
      <c r="I30" s="260"/>
      <c r="J30" s="260"/>
      <c r="K30" s="265"/>
      <c r="L30" s="265"/>
      <c r="M30" s="266"/>
      <c r="N30" s="258"/>
      <c r="O30" s="258"/>
      <c r="P30" s="267"/>
      <c r="Q30" s="267"/>
    </row>
    <row r="31" spans="1:19" s="242" customFormat="1" ht="15" customHeight="1">
      <c r="A31" s="873"/>
      <c r="B31" s="874"/>
      <c r="C31" s="258"/>
      <c r="D31" s="258"/>
      <c r="E31" s="258"/>
      <c r="F31" s="447" t="s">
        <v>14</v>
      </c>
      <c r="G31" s="261" t="s">
        <v>68</v>
      </c>
      <c r="H31" s="260"/>
      <c r="I31" s="260"/>
      <c r="J31" s="260"/>
      <c r="K31" s="265"/>
      <c r="L31" s="265"/>
      <c r="M31" s="266"/>
      <c r="N31" s="258"/>
      <c r="O31" s="258"/>
      <c r="P31" s="464"/>
      <c r="Q31" s="320">
        <f>SUM(Q32:Q33)</f>
        <v>200000</v>
      </c>
    </row>
    <row r="32" spans="1:19" s="242" customFormat="1" ht="15" customHeight="1">
      <c r="A32" s="873"/>
      <c r="B32" s="874"/>
      <c r="C32" s="258"/>
      <c r="D32" s="258"/>
      <c r="E32" s="258"/>
      <c r="F32" s="257"/>
      <c r="G32" s="260" t="s">
        <v>69</v>
      </c>
      <c r="H32" s="260"/>
      <c r="I32" s="260"/>
      <c r="J32" s="260"/>
      <c r="K32" s="260"/>
      <c r="L32" s="260"/>
      <c r="M32" s="262"/>
      <c r="N32" s="258">
        <v>500</v>
      </c>
      <c r="O32" s="258" t="s">
        <v>38</v>
      </c>
      <c r="P32" s="468">
        <v>300</v>
      </c>
      <c r="Q32" s="267">
        <f>SUM(N32*P32)</f>
        <v>150000</v>
      </c>
    </row>
    <row r="33" spans="1:17" s="242" customFormat="1" ht="15" customHeight="1">
      <c r="A33" s="886"/>
      <c r="B33" s="887"/>
      <c r="C33" s="273"/>
      <c r="D33" s="273"/>
      <c r="E33" s="273"/>
      <c r="F33" s="272"/>
      <c r="G33" s="275" t="s">
        <v>196</v>
      </c>
      <c r="H33" s="275"/>
      <c r="I33" s="275"/>
      <c r="J33" s="275"/>
      <c r="K33" s="275"/>
      <c r="L33" s="275"/>
      <c r="M33" s="465"/>
      <c r="N33" s="273">
        <v>10</v>
      </c>
      <c r="O33" s="503" t="s">
        <v>296</v>
      </c>
      <c r="P33" s="504">
        <v>5000</v>
      </c>
      <c r="Q33" s="277">
        <f>N33*P33</f>
        <v>50000</v>
      </c>
    </row>
    <row r="34" spans="1:17" s="242" customFormat="1" ht="15" customHeight="1">
      <c r="A34" s="768"/>
      <c r="B34" s="883"/>
      <c r="C34" s="426"/>
      <c r="D34" s="426"/>
      <c r="E34" s="426"/>
      <c r="F34" s="760" t="s">
        <v>163</v>
      </c>
      <c r="G34" s="761"/>
      <c r="H34" s="761"/>
      <c r="I34" s="761"/>
      <c r="J34" s="761"/>
      <c r="K34" s="761"/>
      <c r="L34" s="761"/>
      <c r="M34" s="764"/>
      <c r="N34" s="442"/>
      <c r="O34" s="442"/>
      <c r="P34" s="442"/>
      <c r="Q34" s="429">
        <f>SUM(Q31+Q26+Q22+Q17)</f>
        <v>3061500</v>
      </c>
    </row>
    <row r="35" spans="1:17" s="242" customFormat="1" ht="16.5">
      <c r="A35" s="283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5"/>
    </row>
    <row r="36" spans="1:17" s="242" customFormat="1" ht="16.5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5"/>
    </row>
    <row r="37" spans="1:17" s="242" customFormat="1" ht="16.5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 t="s">
        <v>552</v>
      </c>
      <c r="Q37" s="285"/>
    </row>
    <row r="38" spans="1:17" s="242" customFormat="1" ht="16.5">
      <c r="A38" s="283"/>
      <c r="B38" s="284"/>
      <c r="C38" s="284"/>
      <c r="D38" s="284"/>
      <c r="E38" s="284"/>
      <c r="F38" s="284"/>
      <c r="G38" s="286" t="s">
        <v>168</v>
      </c>
      <c r="H38" s="284"/>
      <c r="I38" s="284"/>
      <c r="J38" s="284"/>
      <c r="K38" s="284"/>
      <c r="L38" s="284"/>
      <c r="M38" s="284"/>
      <c r="N38" s="284"/>
      <c r="O38" s="284"/>
      <c r="P38" s="298" t="s">
        <v>193</v>
      </c>
      <c r="Q38" s="285"/>
    </row>
    <row r="39" spans="1:17" s="242" customFormat="1" ht="16.5">
      <c r="A39" s="283"/>
      <c r="B39" s="284"/>
      <c r="C39" s="284"/>
      <c r="D39" s="284"/>
      <c r="E39" s="284"/>
      <c r="F39" s="284"/>
      <c r="G39" s="286" t="s">
        <v>298</v>
      </c>
      <c r="H39" s="284"/>
      <c r="I39" s="284"/>
      <c r="J39" s="284"/>
      <c r="K39" s="284"/>
      <c r="L39" s="284"/>
      <c r="M39" s="284"/>
      <c r="N39" s="284"/>
      <c r="O39" s="284"/>
      <c r="P39" s="284"/>
      <c r="Q39" s="285"/>
    </row>
    <row r="40" spans="1:17" s="242" customFormat="1" ht="16.5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5"/>
    </row>
    <row r="41" spans="1:17" s="242" customFormat="1" ht="16.5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5"/>
    </row>
    <row r="42" spans="1:17" s="242" customFormat="1" ht="16.5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5"/>
    </row>
    <row r="43" spans="1:17" s="242" customFormat="1" ht="16.5">
      <c r="A43" s="283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5"/>
    </row>
    <row r="44" spans="1:17" s="242" customFormat="1" ht="16.5">
      <c r="A44" s="283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5"/>
    </row>
    <row r="45" spans="1:17" s="242" customFormat="1" ht="16.5">
      <c r="A45" s="283"/>
      <c r="B45" s="284"/>
      <c r="C45" s="284"/>
      <c r="D45" s="284"/>
      <c r="E45" s="284"/>
      <c r="F45" s="284"/>
      <c r="G45" s="303" t="s">
        <v>304</v>
      </c>
      <c r="H45" s="284"/>
      <c r="I45" s="284"/>
      <c r="J45" s="284"/>
      <c r="K45" s="284"/>
      <c r="L45" s="284"/>
      <c r="M45" s="284"/>
      <c r="N45" s="284"/>
      <c r="O45" s="284"/>
      <c r="P45" s="303" t="s">
        <v>551</v>
      </c>
      <c r="Q45" s="285"/>
    </row>
    <row r="46" spans="1:17" s="242" customFormat="1" ht="16.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9"/>
    </row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</sheetData>
  <mergeCells count="30">
    <mergeCell ref="Q13:Q14"/>
    <mergeCell ref="F13:M14"/>
    <mergeCell ref="F15:M15"/>
    <mergeCell ref="F34:M34"/>
    <mergeCell ref="N13:N14"/>
    <mergeCell ref="O13:O14"/>
    <mergeCell ref="A34:B34"/>
    <mergeCell ref="A27:B27"/>
    <mergeCell ref="A28:B28"/>
    <mergeCell ref="A29:B29"/>
    <mergeCell ref="A31:B31"/>
    <mergeCell ref="A32:B32"/>
    <mergeCell ref="A33:B33"/>
    <mergeCell ref="A26:B26"/>
    <mergeCell ref="A13:E14"/>
    <mergeCell ref="A15:E15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J8:Q8"/>
    <mergeCell ref="A1:Q1"/>
    <mergeCell ref="A2:Q2"/>
    <mergeCell ref="A3:Q3"/>
    <mergeCell ref="J6:Q6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S189"/>
  <sheetViews>
    <sheetView topLeftCell="A18" zoomScaleSheetLayoutView="90" workbookViewId="0">
      <selection activeCell="J8" sqref="J8:Q8"/>
    </sheetView>
  </sheetViews>
  <sheetFormatPr defaultRowHeight="15"/>
  <cols>
    <col min="1" max="1" width="2" customWidth="1"/>
    <col min="2" max="2" width="0.85546875" customWidth="1"/>
    <col min="3" max="5" width="3.140625" customWidth="1"/>
    <col min="6" max="6" width="1.5703125" customWidth="1"/>
    <col min="7" max="7" width="20.28515625" customWidth="1"/>
    <col min="8" max="8" width="1.5703125" hidden="1" customWidth="1"/>
    <col min="9" max="9" width="3.28515625" customWidth="1"/>
    <col min="10" max="10" width="5" customWidth="1"/>
    <col min="11" max="11" width="3.140625" customWidth="1"/>
    <col min="12" max="12" width="3.42578125" customWidth="1"/>
    <col min="13" max="13" width="4.28515625" customWidth="1"/>
    <col min="14" max="14" width="7" customWidth="1"/>
    <col min="15" max="15" width="7.140625" customWidth="1"/>
    <col min="16" max="16" width="13.7109375" customWidth="1"/>
    <col min="17" max="17" width="15.42578125" customWidth="1"/>
    <col min="19" max="19" width="23.85546875" customWidth="1"/>
    <col min="20" max="20" width="10" bestFit="1" customWidth="1"/>
  </cols>
  <sheetData>
    <row r="1" spans="1:17" s="247" customFormat="1" ht="18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7" customFormat="1" ht="18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9" customFormat="1" ht="15.7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44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445"/>
    </row>
    <row r="5" spans="1:17" s="242" customFormat="1" ht="16.5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6.5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300</v>
      </c>
      <c r="K6" s="851"/>
      <c r="L6" s="851"/>
      <c r="M6" s="851"/>
      <c r="N6" s="851"/>
      <c r="O6" s="851"/>
      <c r="P6" s="851"/>
      <c r="Q6" s="852"/>
    </row>
    <row r="7" spans="1:17" s="242" customFormat="1" ht="16.5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483</v>
      </c>
      <c r="K7" s="295"/>
      <c r="L7" s="295"/>
      <c r="M7" s="295"/>
      <c r="N7" s="295"/>
      <c r="O7" s="295"/>
      <c r="P7" s="295"/>
      <c r="Q7" s="296"/>
    </row>
    <row r="8" spans="1:17" s="242" customFormat="1" ht="16.5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51" t="s">
        <v>76</v>
      </c>
      <c r="K8" s="851"/>
      <c r="L8" s="851"/>
      <c r="M8" s="851"/>
      <c r="N8" s="851"/>
      <c r="O8" s="851"/>
      <c r="P8" s="851"/>
      <c r="Q8" s="852"/>
    </row>
    <row r="9" spans="1:17" s="242" customFormat="1" ht="16.5">
      <c r="A9" s="297" t="s">
        <v>219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298" t="s">
        <v>484</v>
      </c>
      <c r="K9" s="298"/>
      <c r="L9" s="298"/>
      <c r="M9" s="298"/>
      <c r="N9" s="298"/>
      <c r="O9" s="298"/>
      <c r="P9" s="298"/>
      <c r="Q9" s="299"/>
    </row>
    <row r="10" spans="1:17" s="242" customFormat="1" ht="5.25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298"/>
      <c r="K10" s="298"/>
      <c r="L10" s="298"/>
      <c r="M10" s="298"/>
      <c r="N10" s="298"/>
      <c r="O10" s="298"/>
      <c r="P10" s="298"/>
      <c r="Q10" s="299"/>
    </row>
    <row r="11" spans="1:17" s="243" customFormat="1" ht="12.75">
      <c r="A11" s="457" t="s">
        <v>316</v>
      </c>
      <c r="B11" s="395"/>
      <c r="C11" s="395"/>
      <c r="D11" s="395"/>
      <c r="E11" s="395"/>
      <c r="F11" s="395"/>
      <c r="G11" s="382"/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4.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.7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290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291" t="s">
        <v>5</v>
      </c>
      <c r="Q14" s="781"/>
    </row>
    <row r="15" spans="1:17" s="237" customFormat="1" ht="13.5" customHeight="1">
      <c r="A15" s="864">
        <v>1</v>
      </c>
      <c r="B15" s="865"/>
      <c r="C15" s="865"/>
      <c r="D15" s="865"/>
      <c r="E15" s="866"/>
      <c r="F15" s="864">
        <v>2</v>
      </c>
      <c r="G15" s="865"/>
      <c r="H15" s="865"/>
      <c r="I15" s="865"/>
      <c r="J15" s="865"/>
      <c r="K15" s="865"/>
      <c r="L15" s="865"/>
      <c r="M15" s="866"/>
      <c r="N15" s="239">
        <v>3</v>
      </c>
      <c r="O15" s="239"/>
      <c r="P15" s="239">
        <v>4</v>
      </c>
      <c r="Q15" s="239">
        <v>5</v>
      </c>
    </row>
    <row r="16" spans="1:17" s="383" customFormat="1" ht="15" customHeight="1">
      <c r="A16" s="879">
        <v>2</v>
      </c>
      <c r="B16" s="880"/>
      <c r="C16" s="253">
        <v>1</v>
      </c>
      <c r="D16" s="253">
        <v>14</v>
      </c>
      <c r="E16" s="253">
        <v>2</v>
      </c>
      <c r="F16" s="432" t="s">
        <v>14</v>
      </c>
      <c r="G16" s="378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SUM(Q17+Q22+Q27)</f>
        <v>2015000</v>
      </c>
    </row>
    <row r="17" spans="1:19" s="242" customFormat="1" ht="15" customHeight="1">
      <c r="A17" s="873"/>
      <c r="B17" s="874"/>
      <c r="C17" s="258"/>
      <c r="D17" s="258"/>
      <c r="E17" s="258"/>
      <c r="F17" s="257"/>
      <c r="G17" s="261" t="s">
        <v>202</v>
      </c>
      <c r="H17" s="260"/>
      <c r="I17" s="265"/>
      <c r="J17" s="265"/>
      <c r="K17" s="265"/>
      <c r="L17" s="265"/>
      <c r="M17" s="266"/>
      <c r="N17" s="258"/>
      <c r="O17" s="258"/>
      <c r="P17" s="267"/>
      <c r="Q17" s="320">
        <f>SUM(Q18:Q20)</f>
        <v>1050000</v>
      </c>
      <c r="S17" s="311"/>
    </row>
    <row r="18" spans="1:19" s="242" customFormat="1" ht="15" customHeight="1">
      <c r="A18" s="873"/>
      <c r="B18" s="874"/>
      <c r="C18" s="258"/>
      <c r="D18" s="258"/>
      <c r="E18" s="258"/>
      <c r="F18" s="257"/>
      <c r="G18" s="260" t="s">
        <v>49</v>
      </c>
      <c r="H18" s="260"/>
      <c r="I18" s="265">
        <v>1</v>
      </c>
      <c r="J18" s="265" t="s">
        <v>17</v>
      </c>
      <c r="K18" s="265" t="s">
        <v>20</v>
      </c>
      <c r="L18" s="265">
        <v>1</v>
      </c>
      <c r="M18" s="266" t="s">
        <v>212</v>
      </c>
      <c r="N18" s="258">
        <f>I18*L18</f>
        <v>1</v>
      </c>
      <c r="O18" s="258" t="s">
        <v>43</v>
      </c>
      <c r="P18" s="267">
        <v>250000</v>
      </c>
      <c r="Q18" s="267">
        <f>N18*P18</f>
        <v>250000</v>
      </c>
      <c r="S18" s="311"/>
    </row>
    <row r="19" spans="1:19" s="242" customFormat="1" ht="15" customHeight="1">
      <c r="A19" s="257"/>
      <c r="B19" s="266"/>
      <c r="C19" s="258"/>
      <c r="D19" s="258"/>
      <c r="E19" s="258"/>
      <c r="F19" s="257"/>
      <c r="G19" s="260" t="s">
        <v>66</v>
      </c>
      <c r="H19" s="260"/>
      <c r="I19" s="265">
        <v>1</v>
      </c>
      <c r="J19" s="265" t="s">
        <v>17</v>
      </c>
      <c r="K19" s="265" t="s">
        <v>20</v>
      </c>
      <c r="L19" s="265">
        <v>1</v>
      </c>
      <c r="M19" s="266" t="s">
        <v>212</v>
      </c>
      <c r="N19" s="258">
        <f t="shared" ref="N19" si="0">I19*L19</f>
        <v>1</v>
      </c>
      <c r="O19" s="258" t="s">
        <v>43</v>
      </c>
      <c r="P19" s="267">
        <v>200000</v>
      </c>
      <c r="Q19" s="267">
        <f t="shared" ref="Q19" si="1">N19*P19</f>
        <v>200000</v>
      </c>
      <c r="S19" s="311"/>
    </row>
    <row r="20" spans="1:19" s="242" customFormat="1" ht="15" customHeight="1">
      <c r="A20" s="873"/>
      <c r="B20" s="874"/>
      <c r="C20" s="258"/>
      <c r="D20" s="258"/>
      <c r="E20" s="258"/>
      <c r="F20" s="257"/>
      <c r="G20" s="260" t="s">
        <v>50</v>
      </c>
      <c r="H20" s="260"/>
      <c r="I20" s="265">
        <v>3</v>
      </c>
      <c r="J20" s="265" t="s">
        <v>17</v>
      </c>
      <c r="K20" s="265" t="s">
        <v>20</v>
      </c>
      <c r="L20" s="265">
        <v>1</v>
      </c>
      <c r="M20" s="266" t="s">
        <v>212</v>
      </c>
      <c r="N20" s="258">
        <f>I20*L20</f>
        <v>3</v>
      </c>
      <c r="O20" s="258" t="s">
        <v>43</v>
      </c>
      <c r="P20" s="267">
        <v>200000</v>
      </c>
      <c r="Q20" s="267">
        <f>N20*P20</f>
        <v>600000</v>
      </c>
    </row>
    <row r="21" spans="1:19" s="242" customFormat="1" ht="15" customHeight="1">
      <c r="A21" s="873"/>
      <c r="B21" s="874"/>
      <c r="C21" s="258"/>
      <c r="D21" s="258"/>
      <c r="E21" s="258"/>
      <c r="F21" s="257"/>
      <c r="G21" s="260"/>
      <c r="H21" s="260"/>
      <c r="I21" s="265"/>
      <c r="J21" s="265"/>
      <c r="K21" s="265"/>
      <c r="L21" s="265"/>
      <c r="M21" s="266"/>
      <c r="N21" s="258"/>
      <c r="O21" s="258"/>
      <c r="P21" s="267"/>
      <c r="Q21" s="267"/>
    </row>
    <row r="22" spans="1:19" s="242" customFormat="1" ht="15" customHeight="1">
      <c r="A22" s="873"/>
      <c r="B22" s="874"/>
      <c r="C22" s="258"/>
      <c r="D22" s="258"/>
      <c r="E22" s="258"/>
      <c r="F22" s="447" t="s">
        <v>14</v>
      </c>
      <c r="G22" s="310" t="s">
        <v>77</v>
      </c>
      <c r="H22" s="260"/>
      <c r="I22" s="265"/>
      <c r="J22" s="265"/>
      <c r="K22" s="265"/>
      <c r="L22" s="265"/>
      <c r="M22" s="266"/>
      <c r="N22" s="258"/>
      <c r="O22" s="258"/>
      <c r="P22" s="267"/>
      <c r="Q22" s="320">
        <f>SUM(Q23:Q25)</f>
        <v>131500</v>
      </c>
    </row>
    <row r="23" spans="1:19" s="242" customFormat="1" ht="15" customHeight="1">
      <c r="A23" s="873"/>
      <c r="B23" s="874"/>
      <c r="C23" s="258"/>
      <c r="D23" s="258"/>
      <c r="E23" s="258"/>
      <c r="F23" s="257"/>
      <c r="G23" s="260" t="s">
        <v>31</v>
      </c>
      <c r="H23" s="260"/>
      <c r="I23" s="260"/>
      <c r="J23" s="260"/>
      <c r="K23" s="265"/>
      <c r="L23" s="265"/>
      <c r="M23" s="266"/>
      <c r="N23" s="258">
        <v>1</v>
      </c>
      <c r="O23" s="258" t="s">
        <v>191</v>
      </c>
      <c r="P23" s="267">
        <v>49000</v>
      </c>
      <c r="Q23" s="267">
        <f>N23*P23</f>
        <v>49000</v>
      </c>
    </row>
    <row r="24" spans="1:19" s="242" customFormat="1" ht="15" customHeight="1">
      <c r="A24" s="257"/>
      <c r="B24" s="266"/>
      <c r="C24" s="258"/>
      <c r="D24" s="258"/>
      <c r="E24" s="258"/>
      <c r="F24" s="257"/>
      <c r="G24" s="260" t="s">
        <v>485</v>
      </c>
      <c r="H24" s="260"/>
      <c r="I24" s="260"/>
      <c r="J24" s="260"/>
      <c r="K24" s="265"/>
      <c r="L24" s="265"/>
      <c r="M24" s="266"/>
      <c r="N24" s="258">
        <v>1</v>
      </c>
      <c r="O24" s="258" t="s">
        <v>176</v>
      </c>
      <c r="P24" s="267">
        <v>22500</v>
      </c>
      <c r="Q24" s="267">
        <f>N24*P24</f>
        <v>22500</v>
      </c>
    </row>
    <row r="25" spans="1:19" s="242" customFormat="1" ht="15" customHeight="1">
      <c r="A25" s="873"/>
      <c r="B25" s="874"/>
      <c r="C25" s="258"/>
      <c r="D25" s="258"/>
      <c r="E25" s="258"/>
      <c r="F25" s="257"/>
      <c r="G25" s="260" t="s">
        <v>486</v>
      </c>
      <c r="H25" s="260"/>
      <c r="I25" s="260"/>
      <c r="J25" s="260"/>
      <c r="K25" s="265"/>
      <c r="L25" s="265"/>
      <c r="M25" s="266"/>
      <c r="N25" s="258">
        <v>8</v>
      </c>
      <c r="O25" s="258" t="s">
        <v>176</v>
      </c>
      <c r="P25" s="267">
        <v>7500</v>
      </c>
      <c r="Q25" s="267">
        <f>N25*P25</f>
        <v>60000</v>
      </c>
    </row>
    <row r="26" spans="1:19" s="242" customFormat="1" ht="15" customHeight="1">
      <c r="A26" s="257"/>
      <c r="B26" s="266"/>
      <c r="C26" s="258"/>
      <c r="D26" s="258"/>
      <c r="E26" s="258"/>
      <c r="F26" s="257"/>
      <c r="G26" s="260"/>
      <c r="H26" s="260"/>
      <c r="I26" s="260"/>
      <c r="J26" s="260"/>
      <c r="K26" s="265"/>
      <c r="L26" s="265"/>
      <c r="M26" s="266"/>
      <c r="N26" s="258"/>
      <c r="O26" s="258"/>
      <c r="P26" s="267"/>
      <c r="Q26" s="267"/>
    </row>
    <row r="27" spans="1:19" s="242" customFormat="1" ht="15" customHeight="1">
      <c r="A27" s="873"/>
      <c r="B27" s="874"/>
      <c r="C27" s="258"/>
      <c r="D27" s="258"/>
      <c r="E27" s="258"/>
      <c r="F27" s="447" t="s">
        <v>14</v>
      </c>
      <c r="G27" s="261" t="s">
        <v>68</v>
      </c>
      <c r="H27" s="260"/>
      <c r="I27" s="260"/>
      <c r="J27" s="260"/>
      <c r="K27" s="265"/>
      <c r="L27" s="265"/>
      <c r="M27" s="266"/>
      <c r="N27" s="258"/>
      <c r="O27" s="258"/>
      <c r="P27" s="464"/>
      <c r="Q27" s="320">
        <f>SUM(Q28:Q29)</f>
        <v>833500</v>
      </c>
    </row>
    <row r="28" spans="1:19" s="242" customFormat="1" ht="15" customHeight="1">
      <c r="A28" s="326"/>
      <c r="B28" s="331"/>
      <c r="C28" s="327"/>
      <c r="D28" s="327"/>
      <c r="E28" s="327"/>
      <c r="F28" s="326"/>
      <c r="G28" s="260" t="s">
        <v>69</v>
      </c>
      <c r="H28" s="329"/>
      <c r="I28" s="329"/>
      <c r="J28" s="329"/>
      <c r="K28" s="329"/>
      <c r="L28" s="329"/>
      <c r="M28" s="467"/>
      <c r="N28" s="327">
        <v>2745</v>
      </c>
      <c r="O28" s="327" t="s">
        <v>297</v>
      </c>
      <c r="P28" s="468">
        <v>300</v>
      </c>
      <c r="Q28" s="267">
        <f>SUM(N28*P28)</f>
        <v>823500</v>
      </c>
      <c r="S28" s="271">
        <v>1233750</v>
      </c>
    </row>
    <row r="29" spans="1:19" s="242" customFormat="1" ht="15" customHeight="1">
      <c r="A29" s="326"/>
      <c r="B29" s="331"/>
      <c r="C29" s="327"/>
      <c r="D29" s="327"/>
      <c r="E29" s="327"/>
      <c r="F29" s="326"/>
      <c r="G29" s="260" t="s">
        <v>196</v>
      </c>
      <c r="H29" s="260"/>
      <c r="I29" s="260"/>
      <c r="J29" s="260"/>
      <c r="K29" s="260"/>
      <c r="L29" s="260"/>
      <c r="M29" s="262"/>
      <c r="N29" s="258">
        <v>2</v>
      </c>
      <c r="O29" s="446" t="s">
        <v>296</v>
      </c>
      <c r="P29" s="468">
        <v>5000</v>
      </c>
      <c r="Q29" s="267">
        <f>SUM(N29*P29)</f>
        <v>10000</v>
      </c>
      <c r="S29" s="271"/>
    </row>
    <row r="30" spans="1:19" s="242" customFormat="1" ht="15" customHeight="1">
      <c r="A30" s="886"/>
      <c r="B30" s="887"/>
      <c r="C30" s="273"/>
      <c r="D30" s="273"/>
      <c r="E30" s="273"/>
      <c r="F30" s="272"/>
      <c r="G30" s="275"/>
      <c r="H30" s="275"/>
      <c r="I30" s="275"/>
      <c r="J30" s="275"/>
      <c r="K30" s="275"/>
      <c r="L30" s="275"/>
      <c r="M30" s="465"/>
      <c r="N30" s="273"/>
      <c r="O30" s="273"/>
      <c r="P30" s="466"/>
      <c r="Q30" s="277"/>
      <c r="S30" s="282">
        <f>Q31-S28</f>
        <v>781250</v>
      </c>
    </row>
    <row r="31" spans="1:19" s="242" customFormat="1" ht="15" customHeight="1">
      <c r="A31" s="768"/>
      <c r="B31" s="883"/>
      <c r="C31" s="426"/>
      <c r="D31" s="426"/>
      <c r="E31" s="426"/>
      <c r="F31" s="760" t="s">
        <v>163</v>
      </c>
      <c r="G31" s="761"/>
      <c r="H31" s="761"/>
      <c r="I31" s="761"/>
      <c r="J31" s="761"/>
      <c r="K31" s="761"/>
      <c r="L31" s="761"/>
      <c r="M31" s="764"/>
      <c r="N31" s="442"/>
      <c r="O31" s="442"/>
      <c r="P31" s="442"/>
      <c r="Q31" s="429">
        <f>SUM(Q27+Q22+Q17)</f>
        <v>2015000</v>
      </c>
    </row>
    <row r="32" spans="1:19" s="242" customFormat="1" ht="16.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/>
    </row>
    <row r="33" spans="1:17" s="242" customFormat="1" ht="16.5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5"/>
    </row>
    <row r="34" spans="1:17" s="242" customFormat="1" ht="16.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 t="s">
        <v>553</v>
      </c>
      <c r="Q34" s="285"/>
    </row>
    <row r="35" spans="1:17" s="242" customFormat="1" ht="16.5">
      <c r="A35" s="283"/>
      <c r="B35" s="284"/>
      <c r="C35" s="284"/>
      <c r="D35" s="284"/>
      <c r="E35" s="284"/>
      <c r="F35" s="284"/>
      <c r="G35" s="286" t="s">
        <v>168</v>
      </c>
      <c r="H35" s="284"/>
      <c r="I35" s="284"/>
      <c r="J35" s="284"/>
      <c r="K35" s="284"/>
      <c r="L35" s="284"/>
      <c r="M35" s="284"/>
      <c r="N35" s="284"/>
      <c r="O35" s="284"/>
      <c r="P35" s="298" t="s">
        <v>193</v>
      </c>
      <c r="Q35" s="285"/>
    </row>
    <row r="36" spans="1:17" s="242" customFormat="1" ht="16.5">
      <c r="A36" s="283"/>
      <c r="B36" s="284"/>
      <c r="C36" s="284"/>
      <c r="D36" s="284"/>
      <c r="E36" s="284"/>
      <c r="F36" s="284"/>
      <c r="G36" s="286" t="s">
        <v>298</v>
      </c>
      <c r="H36" s="284"/>
      <c r="I36" s="284"/>
      <c r="J36" s="284"/>
      <c r="K36" s="284"/>
      <c r="L36" s="284"/>
      <c r="M36" s="284"/>
      <c r="N36" s="284"/>
      <c r="O36" s="284"/>
      <c r="P36" s="284"/>
      <c r="Q36" s="285"/>
    </row>
    <row r="37" spans="1:17" s="242" customFormat="1" ht="16.5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5"/>
    </row>
    <row r="38" spans="1:17" s="242" customFormat="1" ht="16.5">
      <c r="A38" s="283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5"/>
    </row>
    <row r="39" spans="1:17" s="242" customFormat="1" ht="16.5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5"/>
    </row>
    <row r="40" spans="1:17" s="242" customFormat="1" ht="16.5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5"/>
    </row>
    <row r="41" spans="1:17" s="242" customFormat="1" ht="16.5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5"/>
    </row>
    <row r="42" spans="1:17" s="242" customFormat="1" ht="16.5">
      <c r="A42" s="283"/>
      <c r="B42" s="284"/>
      <c r="C42" s="284"/>
      <c r="D42" s="284"/>
      <c r="E42" s="284"/>
      <c r="F42" s="284"/>
      <c r="G42" s="303" t="s">
        <v>299</v>
      </c>
      <c r="H42" s="284"/>
      <c r="I42" s="284"/>
      <c r="J42" s="284"/>
      <c r="K42" s="284"/>
      <c r="L42" s="284"/>
      <c r="M42" s="284"/>
      <c r="N42" s="284"/>
      <c r="O42" s="284"/>
      <c r="P42" s="303" t="s">
        <v>551</v>
      </c>
      <c r="Q42" s="285"/>
    </row>
    <row r="43" spans="1:17" s="242" customFormat="1" ht="16.5">
      <c r="A43" s="287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9"/>
    </row>
    <row r="44" spans="1:17" s="242" customFormat="1" ht="16.5"/>
    <row r="45" spans="1:17" s="242" customFormat="1" ht="16.5"/>
    <row r="46" spans="1:17" s="242" customFormat="1" ht="16.5"/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8" customFormat="1"/>
    <row r="187" s="28" customFormat="1"/>
    <row r="188" s="28" customFormat="1"/>
    <row r="189" s="28" customFormat="1"/>
  </sheetData>
  <mergeCells count="24">
    <mergeCell ref="A13:E14"/>
    <mergeCell ref="F13:M14"/>
    <mergeCell ref="N13:N14"/>
    <mergeCell ref="O13:O14"/>
    <mergeCell ref="Q13:Q14"/>
    <mergeCell ref="A1:Q1"/>
    <mergeCell ref="A2:Q2"/>
    <mergeCell ref="A3:Q3"/>
    <mergeCell ref="J6:Q6"/>
    <mergeCell ref="J8:Q8"/>
    <mergeCell ref="A21:B21"/>
    <mergeCell ref="A22:B22"/>
    <mergeCell ref="A15:E15"/>
    <mergeCell ref="F15:M15"/>
    <mergeCell ref="A16:B16"/>
    <mergeCell ref="A17:B17"/>
    <mergeCell ref="A18:B18"/>
    <mergeCell ref="A20:B20"/>
    <mergeCell ref="F31:M31"/>
    <mergeCell ref="A23:B23"/>
    <mergeCell ref="A25:B25"/>
    <mergeCell ref="A27:B27"/>
    <mergeCell ref="A30:B30"/>
    <mergeCell ref="A31:B31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S192"/>
  <sheetViews>
    <sheetView topLeftCell="A23" zoomScaleSheetLayoutView="90" workbookViewId="0">
      <selection activeCell="Q13" sqref="Q13:Q14"/>
    </sheetView>
  </sheetViews>
  <sheetFormatPr defaultRowHeight="15"/>
  <cols>
    <col min="1" max="1" width="2" customWidth="1"/>
    <col min="2" max="2" width="0.85546875" customWidth="1"/>
    <col min="3" max="5" width="3.140625" customWidth="1"/>
    <col min="6" max="6" width="1.5703125" customWidth="1"/>
    <col min="7" max="7" width="20.28515625" customWidth="1"/>
    <col min="8" max="8" width="1.5703125" hidden="1" customWidth="1"/>
    <col min="9" max="9" width="3.28515625" customWidth="1"/>
    <col min="10" max="10" width="5" customWidth="1"/>
    <col min="11" max="11" width="3.140625" customWidth="1"/>
    <col min="12" max="12" width="3.42578125" customWidth="1"/>
    <col min="13" max="13" width="4.28515625" customWidth="1"/>
    <col min="14" max="14" width="7" customWidth="1"/>
    <col min="15" max="15" width="6.85546875" customWidth="1"/>
    <col min="16" max="16" width="13.7109375" customWidth="1"/>
    <col min="17" max="17" width="16" customWidth="1"/>
    <col min="19" max="19" width="23.85546875" customWidth="1"/>
    <col min="20" max="20" width="10" bestFit="1" customWidth="1"/>
  </cols>
  <sheetData>
    <row r="1" spans="1:17" s="247" customFormat="1" ht="18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7" customFormat="1" ht="18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9" customFormat="1" ht="15.7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44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445"/>
    </row>
    <row r="5" spans="1:17" s="242" customFormat="1" ht="9.75" customHeight="1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6.5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300</v>
      </c>
      <c r="K6" s="851"/>
      <c r="L6" s="851"/>
      <c r="M6" s="851"/>
      <c r="N6" s="851"/>
      <c r="O6" s="851"/>
      <c r="P6" s="851"/>
      <c r="Q6" s="852"/>
    </row>
    <row r="7" spans="1:17" s="242" customFormat="1" ht="16.5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482</v>
      </c>
      <c r="K7" s="295"/>
      <c r="L7" s="295"/>
      <c r="M7" s="295"/>
      <c r="N7" s="295"/>
      <c r="O7" s="295"/>
      <c r="P7" s="295"/>
      <c r="Q7" s="296"/>
    </row>
    <row r="8" spans="1:17" s="242" customFormat="1" ht="16.5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51" t="s">
        <v>76</v>
      </c>
      <c r="K8" s="851"/>
      <c r="L8" s="851"/>
      <c r="M8" s="851"/>
      <c r="N8" s="851"/>
      <c r="O8" s="851"/>
      <c r="P8" s="851"/>
      <c r="Q8" s="852"/>
    </row>
    <row r="9" spans="1:17" s="242" customFormat="1" ht="16.5">
      <c r="A9" s="297" t="s">
        <v>219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298" t="s">
        <v>480</v>
      </c>
      <c r="K9" s="298"/>
      <c r="L9" s="298"/>
      <c r="M9" s="298"/>
      <c r="N9" s="298"/>
      <c r="O9" s="298"/>
      <c r="P9" s="298"/>
      <c r="Q9" s="299"/>
    </row>
    <row r="10" spans="1:17" s="242" customFormat="1" ht="5.25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298"/>
      <c r="K10" s="298"/>
      <c r="L10" s="298"/>
      <c r="M10" s="298"/>
      <c r="N10" s="298"/>
      <c r="O10" s="298"/>
      <c r="P10" s="298"/>
      <c r="Q10" s="299"/>
    </row>
    <row r="11" spans="1:17" s="243" customFormat="1" ht="12.75">
      <c r="A11" s="457" t="s">
        <v>316</v>
      </c>
      <c r="B11" s="395"/>
      <c r="C11" s="395"/>
      <c r="D11" s="395"/>
      <c r="E11" s="395"/>
      <c r="F11" s="395"/>
      <c r="G11" s="382"/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4.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.7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290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291" t="s">
        <v>5</v>
      </c>
      <c r="Q14" s="781"/>
    </row>
    <row r="15" spans="1:17" s="237" customFormat="1" ht="13.5" customHeight="1">
      <c r="A15" s="864">
        <v>1</v>
      </c>
      <c r="B15" s="865"/>
      <c r="C15" s="865"/>
      <c r="D15" s="865"/>
      <c r="E15" s="866"/>
      <c r="F15" s="864">
        <v>2</v>
      </c>
      <c r="G15" s="865"/>
      <c r="H15" s="865"/>
      <c r="I15" s="865"/>
      <c r="J15" s="865"/>
      <c r="K15" s="865"/>
      <c r="L15" s="865"/>
      <c r="M15" s="866"/>
      <c r="N15" s="239">
        <v>3</v>
      </c>
      <c r="O15" s="239"/>
      <c r="P15" s="239">
        <v>4</v>
      </c>
      <c r="Q15" s="239">
        <v>5</v>
      </c>
    </row>
    <row r="16" spans="1:17" s="383" customFormat="1" ht="15" customHeight="1">
      <c r="A16" s="879">
        <v>2</v>
      </c>
      <c r="B16" s="880"/>
      <c r="C16" s="253">
        <v>1</v>
      </c>
      <c r="D16" s="253">
        <v>15</v>
      </c>
      <c r="E16" s="253">
        <v>2</v>
      </c>
      <c r="F16" s="432" t="s">
        <v>14</v>
      </c>
      <c r="G16" s="378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SUM(Q17+Q22+Q26+Q30)</f>
        <v>1233750</v>
      </c>
    </row>
    <row r="17" spans="1:19" s="242" customFormat="1" ht="15" customHeight="1">
      <c r="A17" s="873"/>
      <c r="B17" s="874"/>
      <c r="C17" s="258"/>
      <c r="D17" s="258"/>
      <c r="E17" s="258"/>
      <c r="F17" s="257"/>
      <c r="G17" s="261" t="s">
        <v>202</v>
      </c>
      <c r="H17" s="260"/>
      <c r="I17" s="265"/>
      <c r="J17" s="265"/>
      <c r="K17" s="265"/>
      <c r="L17" s="265"/>
      <c r="M17" s="266"/>
      <c r="N17" s="258"/>
      <c r="O17" s="258"/>
      <c r="P17" s="267"/>
      <c r="Q17" s="320">
        <f>SUM(Q18:Q20)</f>
        <v>505000</v>
      </c>
      <c r="S17" s="311"/>
    </row>
    <row r="18" spans="1:19" s="242" customFormat="1" ht="15" customHeight="1">
      <c r="A18" s="873"/>
      <c r="B18" s="874"/>
      <c r="C18" s="258"/>
      <c r="D18" s="258"/>
      <c r="E18" s="258"/>
      <c r="F18" s="257"/>
      <c r="G18" s="260" t="s">
        <v>49</v>
      </c>
      <c r="H18" s="260"/>
      <c r="I18" s="265">
        <v>1</v>
      </c>
      <c r="J18" s="265" t="s">
        <v>17</v>
      </c>
      <c r="K18" s="265" t="s">
        <v>20</v>
      </c>
      <c r="L18" s="265">
        <v>1</v>
      </c>
      <c r="M18" s="266" t="s">
        <v>212</v>
      </c>
      <c r="N18" s="258">
        <f>I18*L18</f>
        <v>1</v>
      </c>
      <c r="O18" s="258" t="s">
        <v>43</v>
      </c>
      <c r="P18" s="267">
        <v>150000</v>
      </c>
      <c r="Q18" s="267">
        <f>N18*P18</f>
        <v>150000</v>
      </c>
      <c r="S18" s="311"/>
    </row>
    <row r="19" spans="1:19" s="242" customFormat="1" ht="15" customHeight="1">
      <c r="A19" s="257"/>
      <c r="B19" s="266"/>
      <c r="C19" s="258"/>
      <c r="D19" s="258"/>
      <c r="E19" s="258"/>
      <c r="F19" s="257"/>
      <c r="G19" s="260" t="s">
        <v>66</v>
      </c>
      <c r="H19" s="260"/>
      <c r="I19" s="265">
        <v>1</v>
      </c>
      <c r="J19" s="265" t="s">
        <v>17</v>
      </c>
      <c r="K19" s="265" t="s">
        <v>20</v>
      </c>
      <c r="L19" s="265">
        <v>1</v>
      </c>
      <c r="M19" s="266" t="s">
        <v>212</v>
      </c>
      <c r="N19" s="258">
        <f t="shared" ref="N19" si="0">I19*L19</f>
        <v>1</v>
      </c>
      <c r="O19" s="258" t="s">
        <v>43</v>
      </c>
      <c r="P19" s="267">
        <v>100000</v>
      </c>
      <c r="Q19" s="267">
        <f t="shared" ref="Q19" si="1">N19*P19</f>
        <v>100000</v>
      </c>
      <c r="S19" s="311"/>
    </row>
    <row r="20" spans="1:19" s="242" customFormat="1" ht="15" customHeight="1">
      <c r="A20" s="873"/>
      <c r="B20" s="874"/>
      <c r="C20" s="258"/>
      <c r="D20" s="258"/>
      <c r="E20" s="258"/>
      <c r="F20" s="257"/>
      <c r="G20" s="260" t="s">
        <v>50</v>
      </c>
      <c r="H20" s="260"/>
      <c r="I20" s="265">
        <v>3</v>
      </c>
      <c r="J20" s="265" t="s">
        <v>17</v>
      </c>
      <c r="K20" s="265" t="s">
        <v>20</v>
      </c>
      <c r="L20" s="265">
        <v>1</v>
      </c>
      <c r="M20" s="266" t="s">
        <v>212</v>
      </c>
      <c r="N20" s="258">
        <f>I20*L20</f>
        <v>3</v>
      </c>
      <c r="O20" s="258" t="s">
        <v>43</v>
      </c>
      <c r="P20" s="267">
        <v>85000</v>
      </c>
      <c r="Q20" s="267">
        <f>N20*P20</f>
        <v>255000</v>
      </c>
    </row>
    <row r="21" spans="1:19" s="242" customFormat="1" ht="15" customHeight="1">
      <c r="A21" s="873"/>
      <c r="B21" s="874"/>
      <c r="C21" s="258"/>
      <c r="D21" s="258"/>
      <c r="E21" s="258"/>
      <c r="F21" s="257"/>
      <c r="G21" s="260"/>
      <c r="H21" s="260"/>
      <c r="I21" s="265"/>
      <c r="J21" s="265"/>
      <c r="K21" s="265"/>
      <c r="L21" s="265"/>
      <c r="M21" s="266"/>
      <c r="N21" s="258"/>
      <c r="O21" s="258"/>
      <c r="P21" s="267"/>
      <c r="Q21" s="267"/>
    </row>
    <row r="22" spans="1:19" s="242" customFormat="1" ht="15" customHeight="1">
      <c r="A22" s="873"/>
      <c r="B22" s="874"/>
      <c r="C22" s="258"/>
      <c r="D22" s="258"/>
      <c r="E22" s="258"/>
      <c r="F22" s="447" t="s">
        <v>14</v>
      </c>
      <c r="G22" s="310" t="s">
        <v>475</v>
      </c>
      <c r="H22" s="260"/>
      <c r="I22" s="265"/>
      <c r="J22" s="265"/>
      <c r="K22" s="265"/>
      <c r="L22" s="265"/>
      <c r="M22" s="266"/>
      <c r="N22" s="258"/>
      <c r="O22" s="258"/>
      <c r="P22" s="267"/>
      <c r="Q22" s="320">
        <f>SUM(Q23:Q24)</f>
        <v>630000</v>
      </c>
    </row>
    <row r="23" spans="1:19" s="242" customFormat="1" ht="15" customHeight="1">
      <c r="A23" s="873"/>
      <c r="B23" s="874"/>
      <c r="C23" s="258"/>
      <c r="D23" s="258"/>
      <c r="E23" s="258"/>
      <c r="F23" s="257"/>
      <c r="G23" s="260" t="s">
        <v>52</v>
      </c>
      <c r="H23" s="260"/>
      <c r="I23" s="265">
        <v>18</v>
      </c>
      <c r="J23" s="260" t="s">
        <v>53</v>
      </c>
      <c r="K23" s="265" t="s">
        <v>20</v>
      </c>
      <c r="L23" s="265">
        <v>1</v>
      </c>
      <c r="M23" s="266" t="s">
        <v>212</v>
      </c>
      <c r="N23" s="258">
        <f>I23*L23</f>
        <v>18</v>
      </c>
      <c r="O23" s="258" t="s">
        <v>53</v>
      </c>
      <c r="P23" s="267">
        <v>25000</v>
      </c>
      <c r="Q23" s="267">
        <f>N23*P23</f>
        <v>450000</v>
      </c>
    </row>
    <row r="24" spans="1:19" s="242" customFormat="1" ht="15" customHeight="1">
      <c r="A24" s="873"/>
      <c r="B24" s="874"/>
      <c r="C24" s="258"/>
      <c r="D24" s="258"/>
      <c r="E24" s="258"/>
      <c r="F24" s="257"/>
      <c r="G24" s="260" t="s">
        <v>54</v>
      </c>
      <c r="H24" s="260"/>
      <c r="I24" s="265">
        <v>18</v>
      </c>
      <c r="J24" s="260" t="s">
        <v>53</v>
      </c>
      <c r="K24" s="265" t="s">
        <v>20</v>
      </c>
      <c r="L24" s="265">
        <v>1</v>
      </c>
      <c r="M24" s="266" t="s">
        <v>212</v>
      </c>
      <c r="N24" s="258">
        <f>I24*L24</f>
        <v>18</v>
      </c>
      <c r="O24" s="258" t="s">
        <v>53</v>
      </c>
      <c r="P24" s="267">
        <v>10000</v>
      </c>
      <c r="Q24" s="267">
        <f>N24*P24</f>
        <v>180000</v>
      </c>
    </row>
    <row r="25" spans="1:19" s="242" customFormat="1" ht="15" customHeight="1">
      <c r="A25" s="873"/>
      <c r="B25" s="874"/>
      <c r="C25" s="258"/>
      <c r="D25" s="258"/>
      <c r="E25" s="258"/>
      <c r="F25" s="257"/>
      <c r="G25" s="260"/>
      <c r="H25" s="260"/>
      <c r="I25" s="260"/>
      <c r="J25" s="260"/>
      <c r="K25" s="265"/>
      <c r="L25" s="265"/>
      <c r="M25" s="266"/>
      <c r="N25" s="258"/>
      <c r="O25" s="258"/>
      <c r="P25" s="267"/>
      <c r="Q25" s="267"/>
    </row>
    <row r="26" spans="1:19" s="242" customFormat="1" ht="15" customHeight="1">
      <c r="A26" s="873"/>
      <c r="B26" s="874"/>
      <c r="C26" s="258"/>
      <c r="D26" s="258"/>
      <c r="E26" s="258"/>
      <c r="F26" s="447" t="s">
        <v>14</v>
      </c>
      <c r="G26" s="310" t="s">
        <v>77</v>
      </c>
      <c r="H26" s="260"/>
      <c r="I26" s="265"/>
      <c r="J26" s="265"/>
      <c r="K26" s="265"/>
      <c r="L26" s="265"/>
      <c r="M26" s="266"/>
      <c r="N26" s="258"/>
      <c r="O26" s="258"/>
      <c r="P26" s="267"/>
      <c r="Q26" s="320">
        <f>SUM(Q27:Q28)</f>
        <v>63750</v>
      </c>
    </row>
    <row r="27" spans="1:19" s="242" customFormat="1" ht="15" customHeight="1">
      <c r="A27" s="873"/>
      <c r="B27" s="874"/>
      <c r="C27" s="258"/>
      <c r="D27" s="258"/>
      <c r="E27" s="258"/>
      <c r="F27" s="257"/>
      <c r="G27" s="260" t="s">
        <v>31</v>
      </c>
      <c r="H27" s="260"/>
      <c r="I27" s="260"/>
      <c r="J27" s="260"/>
      <c r="K27" s="265"/>
      <c r="L27" s="265"/>
      <c r="M27" s="266"/>
      <c r="N27" s="258">
        <v>1</v>
      </c>
      <c r="O27" s="258" t="s">
        <v>191</v>
      </c>
      <c r="P27" s="267">
        <v>49000</v>
      </c>
      <c r="Q27" s="267">
        <f>N27*P27</f>
        <v>49000</v>
      </c>
    </row>
    <row r="28" spans="1:19" s="242" customFormat="1" ht="15" customHeight="1">
      <c r="A28" s="873"/>
      <c r="B28" s="874"/>
      <c r="C28" s="258"/>
      <c r="D28" s="258"/>
      <c r="E28" s="258"/>
      <c r="F28" s="257"/>
      <c r="G28" s="260" t="s">
        <v>32</v>
      </c>
      <c r="H28" s="260"/>
      <c r="I28" s="260"/>
      <c r="J28" s="260"/>
      <c r="K28" s="265"/>
      <c r="L28" s="265"/>
      <c r="M28" s="266"/>
      <c r="N28" s="258">
        <v>1</v>
      </c>
      <c r="O28" s="258" t="s">
        <v>55</v>
      </c>
      <c r="P28" s="267">
        <v>14750</v>
      </c>
      <c r="Q28" s="267">
        <f>N28*P28</f>
        <v>14750</v>
      </c>
    </row>
    <row r="29" spans="1:19" s="242" customFormat="1" ht="15" customHeight="1">
      <c r="A29" s="257"/>
      <c r="B29" s="266"/>
      <c r="C29" s="258"/>
      <c r="D29" s="258"/>
      <c r="E29" s="258"/>
      <c r="F29" s="257"/>
      <c r="G29" s="260"/>
      <c r="H29" s="260"/>
      <c r="I29" s="260"/>
      <c r="J29" s="260"/>
      <c r="K29" s="265"/>
      <c r="L29" s="265"/>
      <c r="M29" s="266"/>
      <c r="N29" s="258"/>
      <c r="O29" s="258"/>
      <c r="P29" s="267"/>
      <c r="Q29" s="267"/>
    </row>
    <row r="30" spans="1:19" s="242" customFormat="1" ht="15" customHeight="1">
      <c r="A30" s="873"/>
      <c r="B30" s="874"/>
      <c r="C30" s="258"/>
      <c r="D30" s="258"/>
      <c r="E30" s="258"/>
      <c r="F30" s="447" t="s">
        <v>14</v>
      </c>
      <c r="G30" s="261" t="s">
        <v>68</v>
      </c>
      <c r="H30" s="260"/>
      <c r="I30" s="260"/>
      <c r="J30" s="260"/>
      <c r="K30" s="265"/>
      <c r="L30" s="265"/>
      <c r="M30" s="266"/>
      <c r="N30" s="258"/>
      <c r="O30" s="258"/>
      <c r="P30" s="464"/>
      <c r="Q30" s="320">
        <f>SUM(Q31:Q32)</f>
        <v>35000</v>
      </c>
    </row>
    <row r="31" spans="1:19" s="242" customFormat="1" ht="15" customHeight="1">
      <c r="A31" s="873"/>
      <c r="B31" s="874"/>
      <c r="C31" s="258"/>
      <c r="D31" s="258"/>
      <c r="E31" s="258"/>
      <c r="F31" s="257"/>
      <c r="G31" s="260" t="s">
        <v>69</v>
      </c>
      <c r="H31" s="260"/>
      <c r="I31" s="260"/>
      <c r="J31" s="260"/>
      <c r="K31" s="260"/>
      <c r="L31" s="260"/>
      <c r="M31" s="262"/>
      <c r="N31" s="327">
        <v>50</v>
      </c>
      <c r="O31" s="258" t="s">
        <v>297</v>
      </c>
      <c r="P31" s="468">
        <v>300</v>
      </c>
      <c r="Q31" s="267">
        <f>SUM(N31*P31)</f>
        <v>15000</v>
      </c>
    </row>
    <row r="32" spans="1:19" s="242" customFormat="1" ht="15" customHeight="1">
      <c r="A32" s="326"/>
      <c r="B32" s="331"/>
      <c r="C32" s="327"/>
      <c r="D32" s="327"/>
      <c r="E32" s="327"/>
      <c r="F32" s="326"/>
      <c r="G32" s="260" t="s">
        <v>196</v>
      </c>
      <c r="H32" s="329"/>
      <c r="I32" s="329"/>
      <c r="J32" s="329"/>
      <c r="K32" s="329"/>
      <c r="L32" s="329"/>
      <c r="M32" s="467"/>
      <c r="N32" s="327">
        <v>4</v>
      </c>
      <c r="O32" s="327" t="s">
        <v>296</v>
      </c>
      <c r="P32" s="468">
        <v>5000</v>
      </c>
      <c r="Q32" s="267">
        <f>SUM(N32*P32)</f>
        <v>20000</v>
      </c>
      <c r="S32" s="271">
        <v>1233750</v>
      </c>
    </row>
    <row r="33" spans="1:19" s="242" customFormat="1" ht="15" customHeight="1">
      <c r="A33" s="886"/>
      <c r="B33" s="887"/>
      <c r="C33" s="273"/>
      <c r="D33" s="273"/>
      <c r="E33" s="273"/>
      <c r="F33" s="272"/>
      <c r="G33" s="275"/>
      <c r="H33" s="275"/>
      <c r="I33" s="275"/>
      <c r="J33" s="275"/>
      <c r="K33" s="275"/>
      <c r="L33" s="275"/>
      <c r="M33" s="465"/>
      <c r="N33" s="273"/>
      <c r="O33" s="273"/>
      <c r="P33" s="466"/>
      <c r="Q33" s="277"/>
      <c r="S33" s="282">
        <f>Q34-S32</f>
        <v>0</v>
      </c>
    </row>
    <row r="34" spans="1:19" s="242" customFormat="1" ht="15" customHeight="1">
      <c r="A34" s="768"/>
      <c r="B34" s="883"/>
      <c r="C34" s="426"/>
      <c r="D34" s="426"/>
      <c r="E34" s="426"/>
      <c r="F34" s="760" t="s">
        <v>163</v>
      </c>
      <c r="G34" s="761"/>
      <c r="H34" s="761"/>
      <c r="I34" s="761"/>
      <c r="J34" s="761"/>
      <c r="K34" s="761"/>
      <c r="L34" s="761"/>
      <c r="M34" s="764"/>
      <c r="N34" s="442"/>
      <c r="O34" s="442"/>
      <c r="P34" s="442"/>
      <c r="Q34" s="429">
        <f>SUM(Q30+Q26+Q22+Q17)</f>
        <v>1233750</v>
      </c>
    </row>
    <row r="35" spans="1:19" s="242" customFormat="1" ht="16.5">
      <c r="A35" s="283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5"/>
    </row>
    <row r="36" spans="1:19" s="242" customFormat="1" ht="16.5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5"/>
    </row>
    <row r="37" spans="1:19" s="242" customFormat="1" ht="16.5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 t="s">
        <v>553</v>
      </c>
      <c r="Q37" s="285"/>
    </row>
    <row r="38" spans="1:19" s="242" customFormat="1" ht="16.5">
      <c r="A38" s="283"/>
      <c r="B38" s="284"/>
      <c r="C38" s="284"/>
      <c r="D38" s="284"/>
      <c r="E38" s="284"/>
      <c r="F38" s="284"/>
      <c r="G38" s="286" t="s">
        <v>168</v>
      </c>
      <c r="H38" s="284"/>
      <c r="I38" s="284"/>
      <c r="J38" s="284"/>
      <c r="K38" s="284"/>
      <c r="L38" s="284"/>
      <c r="M38" s="284"/>
      <c r="N38" s="284"/>
      <c r="O38" s="284"/>
      <c r="P38" s="298" t="s">
        <v>193</v>
      </c>
      <c r="Q38" s="285"/>
    </row>
    <row r="39" spans="1:19" s="242" customFormat="1" ht="16.5">
      <c r="A39" s="283"/>
      <c r="B39" s="284"/>
      <c r="C39" s="284"/>
      <c r="D39" s="284"/>
      <c r="E39" s="284"/>
      <c r="F39" s="284"/>
      <c r="G39" s="286" t="s">
        <v>298</v>
      </c>
      <c r="H39" s="284"/>
      <c r="I39" s="284"/>
      <c r="J39" s="284"/>
      <c r="K39" s="284"/>
      <c r="L39" s="284"/>
      <c r="M39" s="284"/>
      <c r="N39" s="284"/>
      <c r="O39" s="284"/>
      <c r="P39" s="284"/>
      <c r="Q39" s="285"/>
    </row>
    <row r="40" spans="1:19" s="242" customFormat="1" ht="16.5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5"/>
    </row>
    <row r="41" spans="1:19" s="242" customFormat="1" ht="16.5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5"/>
    </row>
    <row r="42" spans="1:19" s="242" customFormat="1" ht="16.5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5"/>
    </row>
    <row r="43" spans="1:19" s="242" customFormat="1" ht="16.5">
      <c r="A43" s="283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5"/>
    </row>
    <row r="44" spans="1:19" s="242" customFormat="1" ht="16.5">
      <c r="A44" s="283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5"/>
    </row>
    <row r="45" spans="1:19" s="242" customFormat="1" ht="16.5">
      <c r="A45" s="283"/>
      <c r="B45" s="284"/>
      <c r="C45" s="284"/>
      <c r="D45" s="284"/>
      <c r="E45" s="284"/>
      <c r="F45" s="284"/>
      <c r="G45" s="303" t="s">
        <v>299</v>
      </c>
      <c r="H45" s="284"/>
      <c r="I45" s="284"/>
      <c r="J45" s="284"/>
      <c r="K45" s="284"/>
      <c r="L45" s="284"/>
      <c r="M45" s="284"/>
      <c r="N45" s="284"/>
      <c r="O45" s="284"/>
      <c r="P45" s="381" t="s">
        <v>551</v>
      </c>
      <c r="Q45" s="285"/>
    </row>
    <row r="46" spans="1:19" s="242" customFormat="1" ht="16.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9"/>
    </row>
    <row r="47" spans="1:19" s="242" customFormat="1" ht="16.5"/>
    <row r="48" spans="1:19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8" customFormat="1"/>
    <row r="192" s="28" customFormat="1"/>
  </sheetData>
  <mergeCells count="29">
    <mergeCell ref="A13:E14"/>
    <mergeCell ref="F13:M14"/>
    <mergeCell ref="N13:N14"/>
    <mergeCell ref="O13:O14"/>
    <mergeCell ref="Q13:Q14"/>
    <mergeCell ref="A1:Q1"/>
    <mergeCell ref="A2:Q2"/>
    <mergeCell ref="A3:Q3"/>
    <mergeCell ref="J6:Q6"/>
    <mergeCell ref="J8:Q8"/>
    <mergeCell ref="A26:B26"/>
    <mergeCell ref="A15:E15"/>
    <mergeCell ref="F15:M15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34:B34"/>
    <mergeCell ref="F34:M34"/>
    <mergeCell ref="A27:B27"/>
    <mergeCell ref="A28:B28"/>
    <mergeCell ref="A30:B30"/>
    <mergeCell ref="A31:B31"/>
    <mergeCell ref="A33:B33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S194"/>
  <sheetViews>
    <sheetView topLeftCell="A21" zoomScaleSheetLayoutView="90" workbookViewId="0">
      <selection activeCell="Q31" sqref="Q31"/>
    </sheetView>
  </sheetViews>
  <sheetFormatPr defaultRowHeight="15"/>
  <cols>
    <col min="1" max="1" width="2" customWidth="1"/>
    <col min="2" max="2" width="0.85546875" customWidth="1"/>
    <col min="3" max="5" width="3.140625" customWidth="1"/>
    <col min="6" max="6" width="1.5703125" customWidth="1"/>
    <col min="7" max="7" width="20.28515625" customWidth="1"/>
    <col min="8" max="8" width="1.5703125" hidden="1" customWidth="1"/>
    <col min="9" max="9" width="3.28515625" customWidth="1"/>
    <col min="10" max="10" width="5" customWidth="1"/>
    <col min="11" max="11" width="3.140625" customWidth="1"/>
    <col min="12" max="12" width="3.42578125" customWidth="1"/>
    <col min="13" max="13" width="4.28515625" customWidth="1"/>
    <col min="14" max="14" width="7.28515625" customWidth="1"/>
    <col min="15" max="15" width="7" customWidth="1"/>
    <col min="16" max="16" width="13.28515625" customWidth="1"/>
    <col min="17" max="17" width="15.28515625" customWidth="1"/>
    <col min="19" max="19" width="15.28515625" bestFit="1" customWidth="1"/>
    <col min="20" max="20" width="10" bestFit="1" customWidth="1"/>
  </cols>
  <sheetData>
    <row r="1" spans="1:17" s="247" customFormat="1" ht="18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7" customFormat="1" ht="18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9" customFormat="1" ht="15.7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44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445"/>
    </row>
    <row r="5" spans="1:17" s="242" customFormat="1" ht="9.75" customHeight="1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6.5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300</v>
      </c>
      <c r="K6" s="851"/>
      <c r="L6" s="851"/>
      <c r="M6" s="851"/>
      <c r="N6" s="851"/>
      <c r="O6" s="851"/>
      <c r="P6" s="851"/>
      <c r="Q6" s="852"/>
    </row>
    <row r="7" spans="1:17" s="242" customFormat="1" ht="16.5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295</v>
      </c>
      <c r="K7" s="295"/>
      <c r="L7" s="295"/>
      <c r="M7" s="295"/>
      <c r="N7" s="295"/>
      <c r="O7" s="295"/>
      <c r="P7" s="295"/>
      <c r="Q7" s="296"/>
    </row>
    <row r="8" spans="1:17" s="242" customFormat="1" ht="16.5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51" t="s">
        <v>76</v>
      </c>
      <c r="K8" s="851"/>
      <c r="L8" s="851"/>
      <c r="M8" s="851"/>
      <c r="N8" s="851"/>
      <c r="O8" s="851"/>
      <c r="P8" s="851"/>
      <c r="Q8" s="852"/>
    </row>
    <row r="9" spans="1:17" s="242" customFormat="1" ht="16.5">
      <c r="A9" s="297" t="s">
        <v>219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298" t="s">
        <v>288</v>
      </c>
      <c r="K9" s="298"/>
      <c r="L9" s="298"/>
      <c r="M9" s="298"/>
      <c r="N9" s="298"/>
      <c r="O9" s="298"/>
      <c r="P9" s="298"/>
      <c r="Q9" s="299"/>
    </row>
    <row r="10" spans="1:17" s="242" customFormat="1" ht="5.25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298"/>
      <c r="K10" s="298"/>
      <c r="L10" s="298"/>
      <c r="M10" s="298"/>
      <c r="N10" s="298"/>
      <c r="O10" s="298"/>
      <c r="P10" s="298"/>
      <c r="Q10" s="299"/>
    </row>
    <row r="11" spans="1:17" s="243" customFormat="1" ht="12.75">
      <c r="A11" s="457" t="s">
        <v>316</v>
      </c>
      <c r="B11" s="395"/>
      <c r="C11" s="395"/>
      <c r="D11" s="395"/>
      <c r="E11" s="395"/>
      <c r="F11" s="395"/>
      <c r="G11" s="382"/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4.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.7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290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291" t="s">
        <v>5</v>
      </c>
      <c r="Q14" s="781"/>
    </row>
    <row r="15" spans="1:17" s="237" customFormat="1" ht="15.75" customHeight="1">
      <c r="A15" s="864">
        <v>1</v>
      </c>
      <c r="B15" s="865"/>
      <c r="C15" s="865"/>
      <c r="D15" s="865"/>
      <c r="E15" s="866"/>
      <c r="F15" s="864">
        <v>2</v>
      </c>
      <c r="G15" s="865"/>
      <c r="H15" s="865"/>
      <c r="I15" s="865"/>
      <c r="J15" s="865"/>
      <c r="K15" s="865"/>
      <c r="L15" s="865"/>
      <c r="M15" s="866"/>
      <c r="N15" s="239">
        <v>3</v>
      </c>
      <c r="O15" s="239"/>
      <c r="P15" s="239">
        <v>4</v>
      </c>
      <c r="Q15" s="239">
        <v>5</v>
      </c>
    </row>
    <row r="16" spans="1:17" s="383" customFormat="1" ht="15" customHeight="1">
      <c r="A16" s="879">
        <v>2</v>
      </c>
      <c r="B16" s="880"/>
      <c r="C16" s="253">
        <v>1</v>
      </c>
      <c r="D16" s="253">
        <v>16</v>
      </c>
      <c r="E16" s="253">
        <v>2</v>
      </c>
      <c r="F16" s="432" t="s">
        <v>14</v>
      </c>
      <c r="G16" s="378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SUM(Q17+Q23+Q27+Q32)</f>
        <v>10000000</v>
      </c>
    </row>
    <row r="17" spans="1:19" s="242" customFormat="1" ht="15" customHeight="1">
      <c r="A17" s="873"/>
      <c r="B17" s="874"/>
      <c r="C17" s="258"/>
      <c r="D17" s="258"/>
      <c r="E17" s="258"/>
      <c r="F17" s="257"/>
      <c r="G17" s="261" t="s">
        <v>202</v>
      </c>
      <c r="H17" s="260"/>
      <c r="I17" s="265"/>
      <c r="J17" s="265"/>
      <c r="K17" s="265"/>
      <c r="L17" s="265"/>
      <c r="M17" s="266"/>
      <c r="N17" s="258"/>
      <c r="O17" s="258"/>
      <c r="P17" s="267"/>
      <c r="Q17" s="320">
        <f>SUM(Q18:Q21)</f>
        <v>4200000</v>
      </c>
      <c r="S17" s="311"/>
    </row>
    <row r="18" spans="1:19" s="242" customFormat="1" ht="15" customHeight="1">
      <c r="A18" s="873"/>
      <c r="B18" s="874"/>
      <c r="C18" s="258"/>
      <c r="D18" s="258"/>
      <c r="E18" s="258"/>
      <c r="F18" s="257"/>
      <c r="G18" s="260" t="s">
        <v>49</v>
      </c>
      <c r="H18" s="260"/>
      <c r="I18" s="265">
        <v>1</v>
      </c>
      <c r="J18" s="265" t="s">
        <v>17</v>
      </c>
      <c r="K18" s="265" t="s">
        <v>20</v>
      </c>
      <c r="L18" s="265">
        <v>2</v>
      </c>
      <c r="M18" s="266" t="s">
        <v>21</v>
      </c>
      <c r="N18" s="258">
        <f>I18*L18</f>
        <v>2</v>
      </c>
      <c r="O18" s="258" t="s">
        <v>43</v>
      </c>
      <c r="P18" s="267">
        <v>350000</v>
      </c>
      <c r="Q18" s="267">
        <f>N18*P18</f>
        <v>700000</v>
      </c>
      <c r="S18" s="311"/>
    </row>
    <row r="19" spans="1:19" s="242" customFormat="1" ht="15" customHeight="1">
      <c r="A19" s="257"/>
      <c r="B19" s="266"/>
      <c r="C19" s="258"/>
      <c r="D19" s="258"/>
      <c r="E19" s="258"/>
      <c r="F19" s="257"/>
      <c r="G19" s="260" t="s">
        <v>66</v>
      </c>
      <c r="H19" s="260"/>
      <c r="I19" s="265">
        <v>1</v>
      </c>
      <c r="J19" s="265" t="s">
        <v>17</v>
      </c>
      <c r="K19" s="265" t="s">
        <v>20</v>
      </c>
      <c r="L19" s="265">
        <v>2</v>
      </c>
      <c r="M19" s="266" t="s">
        <v>21</v>
      </c>
      <c r="N19" s="258">
        <f t="shared" ref="N19:N20" si="0">I19*L19</f>
        <v>2</v>
      </c>
      <c r="O19" s="258" t="s">
        <v>43</v>
      </c>
      <c r="P19" s="267">
        <v>300000</v>
      </c>
      <c r="Q19" s="267">
        <f t="shared" ref="Q19:Q20" si="1">N19*P19</f>
        <v>600000</v>
      </c>
      <c r="S19" s="311"/>
    </row>
    <row r="20" spans="1:19" s="242" customFormat="1" ht="15" customHeight="1">
      <c r="A20" s="257"/>
      <c r="B20" s="266"/>
      <c r="C20" s="258"/>
      <c r="D20" s="258"/>
      <c r="E20" s="258"/>
      <c r="F20" s="257"/>
      <c r="G20" s="260" t="s">
        <v>75</v>
      </c>
      <c r="H20" s="260"/>
      <c r="I20" s="265">
        <v>1</v>
      </c>
      <c r="J20" s="265" t="s">
        <v>17</v>
      </c>
      <c r="K20" s="265" t="s">
        <v>20</v>
      </c>
      <c r="L20" s="265">
        <v>2</v>
      </c>
      <c r="M20" s="266" t="s">
        <v>21</v>
      </c>
      <c r="N20" s="258">
        <f t="shared" si="0"/>
        <v>2</v>
      </c>
      <c r="O20" s="258" t="s">
        <v>43</v>
      </c>
      <c r="P20" s="267">
        <v>250000</v>
      </c>
      <c r="Q20" s="267">
        <f t="shared" si="1"/>
        <v>500000</v>
      </c>
      <c r="S20" s="311"/>
    </row>
    <row r="21" spans="1:19" s="242" customFormat="1" ht="15" customHeight="1">
      <c r="A21" s="873"/>
      <c r="B21" s="874"/>
      <c r="C21" s="258"/>
      <c r="D21" s="258"/>
      <c r="E21" s="258"/>
      <c r="F21" s="257"/>
      <c r="G21" s="260" t="s">
        <v>50</v>
      </c>
      <c r="H21" s="260"/>
      <c r="I21" s="265">
        <v>6</v>
      </c>
      <c r="J21" s="265" t="s">
        <v>17</v>
      </c>
      <c r="K21" s="265" t="s">
        <v>20</v>
      </c>
      <c r="L21" s="265">
        <v>2</v>
      </c>
      <c r="M21" s="266" t="s">
        <v>21</v>
      </c>
      <c r="N21" s="258">
        <f>I21*L21</f>
        <v>12</v>
      </c>
      <c r="O21" s="258" t="s">
        <v>43</v>
      </c>
      <c r="P21" s="267">
        <v>200000</v>
      </c>
      <c r="Q21" s="267">
        <f>N21*P21</f>
        <v>2400000</v>
      </c>
    </row>
    <row r="22" spans="1:19" s="242" customFormat="1" ht="15" customHeight="1">
      <c r="A22" s="873"/>
      <c r="B22" s="874"/>
      <c r="C22" s="258"/>
      <c r="D22" s="258"/>
      <c r="E22" s="258"/>
      <c r="F22" s="257"/>
      <c r="G22" s="260"/>
      <c r="H22" s="260"/>
      <c r="I22" s="265"/>
      <c r="J22" s="265"/>
      <c r="K22" s="265"/>
      <c r="L22" s="265"/>
      <c r="M22" s="266"/>
      <c r="N22" s="258"/>
      <c r="O22" s="258"/>
      <c r="P22" s="267"/>
      <c r="Q22" s="267"/>
    </row>
    <row r="23" spans="1:19" s="242" customFormat="1" ht="15" customHeight="1">
      <c r="A23" s="873"/>
      <c r="B23" s="874"/>
      <c r="C23" s="258"/>
      <c r="D23" s="258"/>
      <c r="E23" s="258"/>
      <c r="F23" s="447" t="s">
        <v>14</v>
      </c>
      <c r="G23" s="310" t="s">
        <v>475</v>
      </c>
      <c r="H23" s="260"/>
      <c r="I23" s="265"/>
      <c r="J23" s="265"/>
      <c r="K23" s="265"/>
      <c r="L23" s="265"/>
      <c r="M23" s="266"/>
      <c r="N23" s="258"/>
      <c r="O23" s="258"/>
      <c r="P23" s="267"/>
      <c r="Q23" s="320">
        <f>SUM(Q24:Q25)</f>
        <v>5180000</v>
      </c>
    </row>
    <row r="24" spans="1:19" s="242" customFormat="1" ht="15" customHeight="1">
      <c r="A24" s="873"/>
      <c r="B24" s="874"/>
      <c r="C24" s="258"/>
      <c r="D24" s="258"/>
      <c r="E24" s="258"/>
      <c r="F24" s="257"/>
      <c r="G24" s="260" t="s">
        <v>52</v>
      </c>
      <c r="H24" s="260"/>
      <c r="I24" s="265">
        <v>37</v>
      </c>
      <c r="J24" s="260" t="s">
        <v>53</v>
      </c>
      <c r="K24" s="265" t="s">
        <v>20</v>
      </c>
      <c r="L24" s="265">
        <v>4</v>
      </c>
      <c r="M24" s="266" t="s">
        <v>43</v>
      </c>
      <c r="N24" s="258">
        <f>I24*L24</f>
        <v>148</v>
      </c>
      <c r="O24" s="258" t="s">
        <v>53</v>
      </c>
      <c r="P24" s="267">
        <v>25000</v>
      </c>
      <c r="Q24" s="267">
        <f>N24*P24</f>
        <v>3700000</v>
      </c>
    </row>
    <row r="25" spans="1:19" s="242" customFormat="1" ht="15" customHeight="1">
      <c r="A25" s="873"/>
      <c r="B25" s="874"/>
      <c r="C25" s="258"/>
      <c r="D25" s="258"/>
      <c r="E25" s="258"/>
      <c r="F25" s="257"/>
      <c r="G25" s="260" t="s">
        <v>54</v>
      </c>
      <c r="H25" s="260"/>
      <c r="I25" s="265">
        <v>37</v>
      </c>
      <c r="J25" s="260" t="s">
        <v>53</v>
      </c>
      <c r="K25" s="265" t="s">
        <v>20</v>
      </c>
      <c r="L25" s="265">
        <v>4</v>
      </c>
      <c r="M25" s="266" t="s">
        <v>43</v>
      </c>
      <c r="N25" s="258">
        <f>I25*L25</f>
        <v>148</v>
      </c>
      <c r="O25" s="258" t="s">
        <v>53</v>
      </c>
      <c r="P25" s="267">
        <v>10000</v>
      </c>
      <c r="Q25" s="267">
        <f>N25*P25</f>
        <v>1480000</v>
      </c>
      <c r="S25" s="271">
        <v>10000000</v>
      </c>
    </row>
    <row r="26" spans="1:19" s="242" customFormat="1" ht="15" customHeight="1">
      <c r="A26" s="873"/>
      <c r="B26" s="874"/>
      <c r="C26" s="258"/>
      <c r="D26" s="258"/>
      <c r="E26" s="258"/>
      <c r="F26" s="257"/>
      <c r="G26" s="260"/>
      <c r="H26" s="260"/>
      <c r="I26" s="260"/>
      <c r="J26" s="260"/>
      <c r="K26" s="265"/>
      <c r="L26" s="265"/>
      <c r="M26" s="266"/>
      <c r="N26" s="258"/>
      <c r="O26" s="258"/>
      <c r="P26" s="267"/>
      <c r="Q26" s="267"/>
      <c r="S26" s="282">
        <f>S25-Q36</f>
        <v>0</v>
      </c>
    </row>
    <row r="27" spans="1:19" s="242" customFormat="1" ht="15" customHeight="1">
      <c r="A27" s="873"/>
      <c r="B27" s="874"/>
      <c r="C27" s="258"/>
      <c r="D27" s="258"/>
      <c r="E27" s="258"/>
      <c r="F27" s="447" t="s">
        <v>14</v>
      </c>
      <c r="G27" s="310" t="s">
        <v>77</v>
      </c>
      <c r="H27" s="260"/>
      <c r="I27" s="265"/>
      <c r="J27" s="265"/>
      <c r="K27" s="265"/>
      <c r="L27" s="265"/>
      <c r="M27" s="266"/>
      <c r="N27" s="258"/>
      <c r="O27" s="258"/>
      <c r="P27" s="267"/>
      <c r="Q27" s="320">
        <f>SUM(Q28:Q30)</f>
        <v>150000</v>
      </c>
    </row>
    <row r="28" spans="1:19" s="242" customFormat="1" ht="15" customHeight="1">
      <c r="A28" s="873"/>
      <c r="B28" s="874"/>
      <c r="C28" s="258"/>
      <c r="D28" s="258"/>
      <c r="E28" s="258"/>
      <c r="F28" s="257"/>
      <c r="G28" s="260" t="s">
        <v>31</v>
      </c>
      <c r="H28" s="260"/>
      <c r="I28" s="260"/>
      <c r="J28" s="260"/>
      <c r="K28" s="265"/>
      <c r="L28" s="265"/>
      <c r="M28" s="266"/>
      <c r="N28" s="258">
        <v>2</v>
      </c>
      <c r="O28" s="258" t="s">
        <v>191</v>
      </c>
      <c r="P28" s="267">
        <v>49000</v>
      </c>
      <c r="Q28" s="267">
        <f>N28*P28</f>
        <v>98000</v>
      </c>
    </row>
    <row r="29" spans="1:19" s="242" customFormat="1" ht="15" customHeight="1">
      <c r="A29" s="873"/>
      <c r="B29" s="874"/>
      <c r="C29" s="258"/>
      <c r="D29" s="258"/>
      <c r="E29" s="258"/>
      <c r="F29" s="257"/>
      <c r="G29" s="260" t="s">
        <v>471</v>
      </c>
      <c r="H29" s="260"/>
      <c r="I29" s="260"/>
      <c r="J29" s="260"/>
      <c r="K29" s="265"/>
      <c r="L29" s="265"/>
      <c r="M29" s="266"/>
      <c r="N29" s="258">
        <v>1</v>
      </c>
      <c r="O29" s="258" t="s">
        <v>53</v>
      </c>
      <c r="P29" s="267">
        <v>22000</v>
      </c>
      <c r="Q29" s="267">
        <f>N29*P29</f>
        <v>22000</v>
      </c>
    </row>
    <row r="30" spans="1:19" s="242" customFormat="1" ht="15" customHeight="1">
      <c r="A30" s="873"/>
      <c r="B30" s="874"/>
      <c r="C30" s="258"/>
      <c r="D30" s="258"/>
      <c r="E30" s="258"/>
      <c r="F30" s="257"/>
      <c r="G30" s="260" t="s">
        <v>32</v>
      </c>
      <c r="H30" s="260"/>
      <c r="I30" s="260"/>
      <c r="J30" s="260"/>
      <c r="K30" s="265"/>
      <c r="L30" s="265"/>
      <c r="M30" s="266"/>
      <c r="N30" s="258">
        <v>2</v>
      </c>
      <c r="O30" s="258" t="s">
        <v>55</v>
      </c>
      <c r="P30" s="267">
        <v>15000</v>
      </c>
      <c r="Q30" s="267">
        <f>N30*P30</f>
        <v>30000</v>
      </c>
    </row>
    <row r="31" spans="1:19" s="242" customFormat="1" ht="15" customHeight="1">
      <c r="A31" s="257"/>
      <c r="B31" s="266"/>
      <c r="C31" s="258"/>
      <c r="D31" s="258"/>
      <c r="E31" s="258"/>
      <c r="F31" s="257"/>
      <c r="G31" s="260"/>
      <c r="H31" s="260"/>
      <c r="I31" s="260"/>
      <c r="J31" s="260"/>
      <c r="K31" s="265"/>
      <c r="L31" s="265"/>
      <c r="M31" s="266"/>
      <c r="N31" s="258"/>
      <c r="O31" s="258"/>
      <c r="P31" s="267"/>
      <c r="Q31" s="267"/>
    </row>
    <row r="32" spans="1:19" s="242" customFormat="1" ht="15" customHeight="1">
      <c r="A32" s="873"/>
      <c r="B32" s="874"/>
      <c r="C32" s="258"/>
      <c r="D32" s="258"/>
      <c r="E32" s="258"/>
      <c r="F32" s="447" t="s">
        <v>14</v>
      </c>
      <c r="G32" s="261" t="s">
        <v>68</v>
      </c>
      <c r="H32" s="260"/>
      <c r="I32" s="260"/>
      <c r="J32" s="260"/>
      <c r="K32" s="265"/>
      <c r="L32" s="265"/>
      <c r="M32" s="266"/>
      <c r="N32" s="258"/>
      <c r="O32" s="258"/>
      <c r="P32" s="464"/>
      <c r="Q32" s="320">
        <f>SUM(Q33:Q34)</f>
        <v>470000</v>
      </c>
    </row>
    <row r="33" spans="1:17" s="242" customFormat="1" ht="15" customHeight="1">
      <c r="A33" s="873"/>
      <c r="B33" s="874"/>
      <c r="C33" s="258"/>
      <c r="D33" s="258"/>
      <c r="E33" s="258"/>
      <c r="F33" s="257"/>
      <c r="G33" s="260" t="s">
        <v>196</v>
      </c>
      <c r="H33" s="260"/>
      <c r="I33" s="260"/>
      <c r="J33" s="260"/>
      <c r="K33" s="260"/>
      <c r="L33" s="260"/>
      <c r="M33" s="262"/>
      <c r="N33" s="258">
        <v>4</v>
      </c>
      <c r="O33" s="258" t="s">
        <v>296</v>
      </c>
      <c r="P33" s="468">
        <v>5000</v>
      </c>
      <c r="Q33" s="267">
        <f>SUM(N33*P33)</f>
        <v>20000</v>
      </c>
    </row>
    <row r="34" spans="1:17" s="242" customFormat="1" ht="15" customHeight="1">
      <c r="A34" s="326"/>
      <c r="B34" s="331"/>
      <c r="C34" s="327"/>
      <c r="D34" s="327"/>
      <c r="E34" s="327"/>
      <c r="F34" s="326"/>
      <c r="G34" s="260" t="s">
        <v>69</v>
      </c>
      <c r="H34" s="329"/>
      <c r="I34" s="329"/>
      <c r="J34" s="329"/>
      <c r="K34" s="329"/>
      <c r="L34" s="329"/>
      <c r="M34" s="467"/>
      <c r="N34" s="327">
        <v>1500</v>
      </c>
      <c r="O34" s="327" t="s">
        <v>297</v>
      </c>
      <c r="P34" s="468">
        <v>300</v>
      </c>
      <c r="Q34" s="267">
        <f>SUM(N34*P34)</f>
        <v>450000</v>
      </c>
    </row>
    <row r="35" spans="1:17" s="242" customFormat="1" ht="15" customHeight="1">
      <c r="A35" s="886"/>
      <c r="B35" s="887"/>
      <c r="C35" s="273"/>
      <c r="D35" s="273"/>
      <c r="E35" s="273"/>
      <c r="F35" s="272"/>
      <c r="G35" s="275"/>
      <c r="H35" s="275"/>
      <c r="I35" s="275"/>
      <c r="J35" s="275"/>
      <c r="K35" s="275"/>
      <c r="L35" s="275"/>
      <c r="M35" s="465"/>
      <c r="N35" s="273"/>
      <c r="O35" s="273"/>
      <c r="P35" s="466"/>
      <c r="Q35" s="277"/>
    </row>
    <row r="36" spans="1:17" s="242" customFormat="1" ht="15" customHeight="1">
      <c r="A36" s="768"/>
      <c r="B36" s="883"/>
      <c r="C36" s="426"/>
      <c r="D36" s="426"/>
      <c r="E36" s="426"/>
      <c r="F36" s="760" t="s">
        <v>163</v>
      </c>
      <c r="G36" s="761"/>
      <c r="H36" s="761"/>
      <c r="I36" s="761"/>
      <c r="J36" s="761"/>
      <c r="K36" s="761"/>
      <c r="L36" s="761"/>
      <c r="M36" s="764"/>
      <c r="N36" s="442"/>
      <c r="O36" s="442"/>
      <c r="P36" s="442"/>
      <c r="Q36" s="429">
        <f>SUM(Q32+Q27+Q23+Q17)</f>
        <v>10000000</v>
      </c>
    </row>
    <row r="37" spans="1:17" s="242" customFormat="1" ht="16.5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5"/>
    </row>
    <row r="38" spans="1:17" s="242" customFormat="1" ht="16.5">
      <c r="A38" s="283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5"/>
    </row>
    <row r="39" spans="1:17" s="242" customFormat="1" ht="16.5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 t="s">
        <v>555</v>
      </c>
      <c r="Q39" s="285"/>
    </row>
    <row r="40" spans="1:17" s="242" customFormat="1" ht="16.5">
      <c r="A40" s="283"/>
      <c r="B40" s="284"/>
      <c r="C40" s="284"/>
      <c r="D40" s="284"/>
      <c r="E40" s="284"/>
      <c r="F40" s="284"/>
      <c r="G40" s="286" t="s">
        <v>168</v>
      </c>
      <c r="H40" s="284"/>
      <c r="I40" s="284"/>
      <c r="J40" s="284"/>
      <c r="K40" s="284"/>
      <c r="L40" s="284"/>
      <c r="M40" s="284"/>
      <c r="N40" s="284"/>
      <c r="O40" s="284"/>
      <c r="P40" s="298" t="s">
        <v>193</v>
      </c>
      <c r="Q40" s="285"/>
    </row>
    <row r="41" spans="1:17" s="242" customFormat="1" ht="16.5">
      <c r="A41" s="283"/>
      <c r="B41" s="284"/>
      <c r="C41" s="284"/>
      <c r="D41" s="284"/>
      <c r="E41" s="284"/>
      <c r="F41" s="284"/>
      <c r="G41" s="286" t="s">
        <v>298</v>
      </c>
      <c r="H41" s="284"/>
      <c r="I41" s="284"/>
      <c r="J41" s="284"/>
      <c r="K41" s="284"/>
      <c r="L41" s="284"/>
      <c r="M41" s="284"/>
      <c r="N41" s="284"/>
      <c r="O41" s="284"/>
      <c r="P41" s="284"/>
      <c r="Q41" s="285"/>
    </row>
    <row r="42" spans="1:17" s="242" customFormat="1" ht="16.5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5"/>
    </row>
    <row r="43" spans="1:17" s="242" customFormat="1" ht="16.5">
      <c r="A43" s="283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5"/>
    </row>
    <row r="44" spans="1:17" s="242" customFormat="1" ht="16.5">
      <c r="A44" s="283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5"/>
    </row>
    <row r="45" spans="1:17" s="242" customFormat="1" ht="16.5">
      <c r="A45" s="283"/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5"/>
    </row>
    <row r="46" spans="1:17" s="242" customFormat="1" ht="16.5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5"/>
    </row>
    <row r="47" spans="1:17" s="242" customFormat="1" ht="16.5">
      <c r="A47" s="283"/>
      <c r="B47" s="284"/>
      <c r="C47" s="284"/>
      <c r="D47" s="284"/>
      <c r="E47" s="284"/>
      <c r="F47" s="284"/>
      <c r="G47" s="303" t="s">
        <v>299</v>
      </c>
      <c r="H47" s="284"/>
      <c r="I47" s="284"/>
      <c r="J47" s="284"/>
      <c r="K47" s="284"/>
      <c r="L47" s="284"/>
      <c r="M47" s="284"/>
      <c r="N47" s="284"/>
      <c r="O47" s="284"/>
      <c r="P47" s="381" t="s">
        <v>551</v>
      </c>
      <c r="Q47" s="285"/>
    </row>
    <row r="48" spans="1:17" s="242" customFormat="1" ht="16.5">
      <c r="A48" s="287"/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9"/>
    </row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8" customFormat="1"/>
    <row r="164" s="28" customFormat="1"/>
    <row r="165" s="28" customFormat="1"/>
    <row r="166" s="28" customFormat="1"/>
    <row r="167" s="28" customFormat="1"/>
    <row r="168" s="28" customFormat="1"/>
    <row r="169" s="28" customFormat="1"/>
    <row r="170" s="28" customFormat="1"/>
    <row r="171" s="28" customFormat="1"/>
    <row r="172" s="28" customFormat="1"/>
    <row r="173" s="28" customFormat="1"/>
    <row r="174" s="28" customFormat="1"/>
    <row r="175" s="28" customFormat="1"/>
    <row r="176" s="28" customFormat="1"/>
    <row r="177" s="28" customFormat="1"/>
    <row r="178" s="28" customFormat="1"/>
    <row r="179" s="28" customFormat="1"/>
    <row r="180" s="28" customFormat="1"/>
    <row r="181" s="28" customFormat="1"/>
    <row r="182" s="28" customFormat="1"/>
    <row r="183" s="28" customFormat="1"/>
    <row r="184" s="28" customFormat="1"/>
    <row r="185" s="28" customFormat="1"/>
    <row r="186" s="28" customFormat="1"/>
    <row r="187" s="28" customFormat="1"/>
    <row r="188" s="28" customFormat="1"/>
    <row r="189" s="28" customFormat="1"/>
    <row r="190" s="28" customFormat="1"/>
    <row r="191" s="28" customFormat="1"/>
    <row r="192" s="28" customFormat="1"/>
    <row r="193" s="28" customFormat="1"/>
    <row r="194" s="28" customFormat="1"/>
  </sheetData>
  <mergeCells count="30">
    <mergeCell ref="F36:M36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5:B35"/>
    <mergeCell ref="A36:B36"/>
    <mergeCell ref="A23:B23"/>
    <mergeCell ref="A13:E14"/>
    <mergeCell ref="F13:M14"/>
    <mergeCell ref="N13:N14"/>
    <mergeCell ref="O13:O14"/>
    <mergeCell ref="A16:B16"/>
    <mergeCell ref="A17:B17"/>
    <mergeCell ref="A18:B18"/>
    <mergeCell ref="A21:B21"/>
    <mergeCell ref="A22:B22"/>
    <mergeCell ref="Q13:Q14"/>
    <mergeCell ref="A15:E15"/>
    <mergeCell ref="F15:M15"/>
    <mergeCell ref="A1:Q1"/>
    <mergeCell ref="A2:Q2"/>
    <mergeCell ref="A3:Q3"/>
    <mergeCell ref="J6:Q6"/>
    <mergeCell ref="J8:Q8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W205"/>
  <sheetViews>
    <sheetView topLeftCell="C8" zoomScaleSheetLayoutView="100" workbookViewId="0">
      <selection activeCell="Q20" sqref="Q20"/>
    </sheetView>
  </sheetViews>
  <sheetFormatPr defaultRowHeight="15"/>
  <cols>
    <col min="1" max="2" width="0" hidden="1" customWidth="1"/>
    <col min="3" max="3" width="2" customWidth="1"/>
    <col min="4" max="4" width="0.85546875" customWidth="1"/>
    <col min="5" max="7" width="2.7109375" customWidth="1"/>
    <col min="8" max="8" width="1.42578125" customWidth="1"/>
    <col min="9" max="9" width="18.85546875" customWidth="1"/>
    <col min="10" max="10" width="1.5703125" hidden="1" customWidth="1"/>
    <col min="11" max="11" width="2.28515625" customWidth="1"/>
    <col min="12" max="14" width="4.7109375" customWidth="1"/>
    <col min="15" max="15" width="4.42578125" customWidth="1"/>
    <col min="16" max="16" width="7.28515625" customWidth="1"/>
    <col min="17" max="17" width="7" customWidth="1"/>
    <col min="18" max="18" width="13.42578125" customWidth="1"/>
    <col min="19" max="19" width="17.28515625" customWidth="1"/>
    <col min="21" max="21" width="12.42578125" bestFit="1" customWidth="1"/>
    <col min="22" max="22" width="10" bestFit="1" customWidth="1"/>
  </cols>
  <sheetData>
    <row r="1" spans="1:19" s="247" customFormat="1" ht="18">
      <c r="C1" s="853" t="s">
        <v>6</v>
      </c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5"/>
    </row>
    <row r="2" spans="1:19" s="247" customFormat="1" ht="18">
      <c r="C2" s="869" t="s">
        <v>292</v>
      </c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0"/>
      <c r="R2" s="870"/>
      <c r="S2" s="871"/>
    </row>
    <row r="3" spans="1:19" s="249" customFormat="1" ht="15.75">
      <c r="C3" s="859" t="s">
        <v>211</v>
      </c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1"/>
    </row>
    <row r="4" spans="1:19" s="242" customFormat="1" ht="18.75">
      <c r="A4" s="247"/>
      <c r="B4" s="247"/>
      <c r="C4" s="485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7"/>
    </row>
    <row r="5" spans="1:19" s="243" customFormat="1" ht="12.75">
      <c r="C5" s="370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8"/>
    </row>
    <row r="6" spans="1:19" s="242" customFormat="1" ht="16.5">
      <c r="C6" s="283" t="s">
        <v>7</v>
      </c>
      <c r="D6" s="295" t="s">
        <v>10</v>
      </c>
      <c r="E6" s="295"/>
      <c r="F6" s="295"/>
      <c r="G6" s="295"/>
      <c r="H6" s="295"/>
      <c r="I6" s="286"/>
      <c r="J6" s="286" t="s">
        <v>12</v>
      </c>
      <c r="K6" s="286" t="s">
        <v>12</v>
      </c>
      <c r="L6" s="851" t="s">
        <v>56</v>
      </c>
      <c r="M6" s="851"/>
      <c r="N6" s="851"/>
      <c r="O6" s="851"/>
      <c r="P6" s="851"/>
      <c r="Q6" s="851"/>
      <c r="R6" s="851"/>
      <c r="S6" s="852"/>
    </row>
    <row r="7" spans="1:19" s="242" customFormat="1" ht="16.5">
      <c r="C7" s="283" t="s">
        <v>8</v>
      </c>
      <c r="D7" s="295" t="s">
        <v>11</v>
      </c>
      <c r="E7" s="295"/>
      <c r="F7" s="295"/>
      <c r="G7" s="295"/>
      <c r="H7" s="295"/>
      <c r="I7" s="286"/>
      <c r="J7" s="286" t="s">
        <v>12</v>
      </c>
      <c r="K7" s="286" t="s">
        <v>12</v>
      </c>
      <c r="L7" s="295" t="s">
        <v>531</v>
      </c>
      <c r="M7" s="295"/>
      <c r="N7" s="295"/>
      <c r="O7" s="295"/>
      <c r="P7" s="295"/>
      <c r="Q7" s="295"/>
      <c r="R7" s="295"/>
      <c r="S7" s="296"/>
    </row>
    <row r="8" spans="1:19" s="242" customFormat="1" ht="16.5">
      <c r="C8" s="283" t="s">
        <v>9</v>
      </c>
      <c r="D8" s="295" t="s">
        <v>216</v>
      </c>
      <c r="E8" s="295"/>
      <c r="F8" s="295"/>
      <c r="G8" s="295"/>
      <c r="H8" s="295"/>
      <c r="I8" s="286"/>
      <c r="J8" s="286"/>
      <c r="K8" s="286" t="s">
        <v>231</v>
      </c>
      <c r="L8" s="469" t="s">
        <v>139</v>
      </c>
      <c r="M8" s="469"/>
      <c r="N8" s="469"/>
      <c r="O8" s="469"/>
      <c r="P8" s="469"/>
      <c r="Q8" s="469"/>
      <c r="R8" s="469"/>
      <c r="S8" s="470"/>
    </row>
    <row r="9" spans="1:19" s="242" customFormat="1" ht="16.5">
      <c r="C9" s="297" t="s">
        <v>219</v>
      </c>
      <c r="D9" s="295" t="s">
        <v>229</v>
      </c>
      <c r="E9" s="295"/>
      <c r="F9" s="295"/>
      <c r="G9" s="295"/>
      <c r="H9" s="295"/>
      <c r="I9" s="286"/>
      <c r="J9" s="286"/>
      <c r="K9" s="286" t="s">
        <v>12</v>
      </c>
      <c r="L9" s="469" t="s">
        <v>532</v>
      </c>
      <c r="M9" s="469"/>
      <c r="N9" s="469"/>
      <c r="O9" s="469"/>
      <c r="P9" s="469"/>
      <c r="Q9" s="469"/>
      <c r="R9" s="469"/>
      <c r="S9" s="470"/>
    </row>
    <row r="10" spans="1:19" s="242" customFormat="1" ht="16.5">
      <c r="C10" s="297" t="s">
        <v>228</v>
      </c>
      <c r="D10" s="295" t="s">
        <v>210</v>
      </c>
      <c r="E10" s="295"/>
      <c r="F10" s="295"/>
      <c r="G10" s="295"/>
      <c r="H10" s="295"/>
      <c r="I10" s="286"/>
      <c r="J10" s="286"/>
      <c r="K10" s="286" t="s">
        <v>12</v>
      </c>
      <c r="L10" s="521" t="s">
        <v>533</v>
      </c>
      <c r="M10" s="521"/>
      <c r="N10" s="469"/>
      <c r="O10" s="469"/>
      <c r="P10" s="469"/>
      <c r="Q10" s="469"/>
      <c r="R10" s="469"/>
      <c r="S10" s="470"/>
    </row>
    <row r="11" spans="1:19" s="242" customFormat="1" ht="16.5">
      <c r="C11" s="283" t="s">
        <v>9</v>
      </c>
      <c r="D11" s="295" t="s">
        <v>22</v>
      </c>
      <c r="E11" s="295"/>
      <c r="F11" s="295"/>
      <c r="G11" s="295"/>
      <c r="H11" s="295"/>
      <c r="I11" s="286"/>
      <c r="J11" s="286" t="s">
        <v>12</v>
      </c>
      <c r="K11" s="286" t="s">
        <v>12</v>
      </c>
      <c r="L11" s="888">
        <v>42614</v>
      </c>
      <c r="M11" s="851"/>
      <c r="N11" s="851"/>
      <c r="O11" s="851"/>
      <c r="P11" s="851"/>
      <c r="Q11" s="851"/>
      <c r="R11" s="851"/>
      <c r="S11" s="852"/>
    </row>
    <row r="12" spans="1:19" s="242" customFormat="1" ht="6" customHeight="1">
      <c r="C12" s="283"/>
      <c r="D12" s="295"/>
      <c r="E12" s="295"/>
      <c r="F12" s="295"/>
      <c r="G12" s="295"/>
      <c r="H12" s="295"/>
      <c r="I12" s="286"/>
      <c r="J12" s="286"/>
      <c r="K12" s="286"/>
      <c r="L12" s="469"/>
      <c r="M12" s="469"/>
      <c r="N12" s="469"/>
      <c r="O12" s="469"/>
      <c r="P12" s="469"/>
      <c r="Q12" s="469"/>
      <c r="R12" s="469"/>
      <c r="S12" s="470"/>
    </row>
    <row r="13" spans="1:19" s="243" customFormat="1" ht="12.75">
      <c r="C13" s="394" t="s">
        <v>221</v>
      </c>
      <c r="D13" s="430"/>
      <c r="E13" s="430"/>
      <c r="F13" s="430"/>
      <c r="G13" s="430"/>
      <c r="H13" s="430"/>
      <c r="I13" s="382"/>
      <c r="J13" s="382"/>
      <c r="K13" s="382"/>
      <c r="L13" s="397"/>
      <c r="M13" s="397"/>
      <c r="N13" s="397"/>
      <c r="O13" s="397"/>
      <c r="P13" s="397"/>
      <c r="Q13" s="397"/>
      <c r="R13" s="397"/>
      <c r="S13" s="398"/>
    </row>
    <row r="14" spans="1:19" s="242" customFormat="1" ht="3.75" customHeight="1">
      <c r="C14" s="283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5"/>
    </row>
    <row r="15" spans="1:19" s="243" customFormat="1" ht="14.25" customHeight="1">
      <c r="A15" s="370"/>
      <c r="B15" s="371"/>
      <c r="C15" s="775" t="s">
        <v>0</v>
      </c>
      <c r="D15" s="776"/>
      <c r="E15" s="776"/>
      <c r="F15" s="776"/>
      <c r="G15" s="777"/>
      <c r="H15" s="775" t="s">
        <v>1</v>
      </c>
      <c r="I15" s="776"/>
      <c r="J15" s="776"/>
      <c r="K15" s="776"/>
      <c r="L15" s="776"/>
      <c r="M15" s="776"/>
      <c r="N15" s="776"/>
      <c r="O15" s="777"/>
      <c r="P15" s="780" t="s">
        <v>2</v>
      </c>
      <c r="Q15" s="780" t="s">
        <v>47</v>
      </c>
      <c r="R15" s="479" t="s">
        <v>4</v>
      </c>
      <c r="S15" s="780" t="s">
        <v>3</v>
      </c>
    </row>
    <row r="16" spans="1:19" s="243" customFormat="1" ht="14.25" customHeight="1">
      <c r="A16" s="370"/>
      <c r="B16" s="371"/>
      <c r="C16" s="863"/>
      <c r="D16" s="778"/>
      <c r="E16" s="778"/>
      <c r="F16" s="778"/>
      <c r="G16" s="779"/>
      <c r="H16" s="863"/>
      <c r="I16" s="778"/>
      <c r="J16" s="778"/>
      <c r="K16" s="778"/>
      <c r="L16" s="778"/>
      <c r="M16" s="778"/>
      <c r="N16" s="778"/>
      <c r="O16" s="779"/>
      <c r="P16" s="781"/>
      <c r="Q16" s="781"/>
      <c r="R16" s="480" t="s">
        <v>5</v>
      </c>
      <c r="S16" s="781"/>
    </row>
    <row r="17" spans="1:23" s="237" customFormat="1" ht="13.5">
      <c r="A17" s="245"/>
      <c r="B17" s="246"/>
      <c r="C17" s="864">
        <v>1</v>
      </c>
      <c r="D17" s="865"/>
      <c r="E17" s="865"/>
      <c r="F17" s="865"/>
      <c r="G17" s="866"/>
      <c r="H17" s="476"/>
      <c r="I17" s="477">
        <v>2</v>
      </c>
      <c r="J17" s="477"/>
      <c r="K17" s="477"/>
      <c r="L17" s="477"/>
      <c r="M17" s="477"/>
      <c r="N17" s="477"/>
      <c r="O17" s="478"/>
      <c r="P17" s="239">
        <v>3</v>
      </c>
      <c r="Q17" s="239"/>
      <c r="R17" s="239">
        <v>4</v>
      </c>
      <c r="S17" s="239">
        <v>5</v>
      </c>
    </row>
    <row r="18" spans="1:23" s="242" customFormat="1" ht="15" customHeight="1">
      <c r="A18" s="283"/>
      <c r="B18" s="284"/>
      <c r="C18" s="876">
        <v>2</v>
      </c>
      <c r="D18" s="876"/>
      <c r="E18" s="492">
        <v>2</v>
      </c>
      <c r="F18" s="492">
        <v>1</v>
      </c>
      <c r="G18" s="492">
        <v>2</v>
      </c>
      <c r="H18" s="432" t="s">
        <v>14</v>
      </c>
      <c r="I18" s="862" t="s">
        <v>48</v>
      </c>
      <c r="J18" s="862"/>
      <c r="K18" s="862"/>
      <c r="L18" s="379"/>
      <c r="M18" s="379"/>
      <c r="N18" s="379"/>
      <c r="O18" s="433"/>
      <c r="P18" s="256"/>
      <c r="Q18" s="256"/>
      <c r="R18" s="256"/>
      <c r="S18" s="308">
        <f>SUM(S19)</f>
        <v>7070000</v>
      </c>
    </row>
    <row r="19" spans="1:23" s="242" customFormat="1" ht="15" customHeight="1">
      <c r="A19" s="283"/>
      <c r="B19" s="284"/>
      <c r="C19" s="875"/>
      <c r="D19" s="875"/>
      <c r="E19" s="491"/>
      <c r="F19" s="491"/>
      <c r="G19" s="491"/>
      <c r="H19" s="447" t="s">
        <v>14</v>
      </c>
      <c r="I19" s="260" t="s">
        <v>57</v>
      </c>
      <c r="J19" s="260"/>
      <c r="K19" s="265"/>
      <c r="L19" s="265"/>
      <c r="M19" s="265"/>
      <c r="N19" s="265"/>
      <c r="O19" s="490"/>
      <c r="P19" s="491"/>
      <c r="Q19" s="491"/>
      <c r="R19" s="267">
        <v>0</v>
      </c>
      <c r="S19" s="267">
        <f>SUM(S20:S20)</f>
        <v>7070000</v>
      </c>
      <c r="U19" s="311"/>
      <c r="V19" s="514"/>
      <c r="W19" s="282"/>
    </row>
    <row r="20" spans="1:23" s="242" customFormat="1" ht="15" customHeight="1">
      <c r="A20" s="283"/>
      <c r="B20" s="284"/>
      <c r="C20" s="875"/>
      <c r="D20" s="875"/>
      <c r="E20" s="491"/>
      <c r="F20" s="491"/>
      <c r="G20" s="491"/>
      <c r="H20" s="489"/>
      <c r="I20" s="260" t="s">
        <v>534</v>
      </c>
      <c r="J20" s="260"/>
      <c r="K20" s="260"/>
      <c r="L20" s="260"/>
      <c r="M20" s="260"/>
      <c r="N20" s="260"/>
      <c r="O20" s="262"/>
      <c r="P20" s="491">
        <v>101</v>
      </c>
      <c r="Q20" s="491" t="s">
        <v>282</v>
      </c>
      <c r="R20" s="267">
        <v>70000</v>
      </c>
      <c r="S20" s="267">
        <f t="shared" ref="S20" si="0">P20*R20</f>
        <v>7070000</v>
      </c>
      <c r="W20" s="515"/>
    </row>
    <row r="21" spans="1:23" s="242" customFormat="1" ht="15" customHeight="1">
      <c r="A21" s="283"/>
      <c r="B21" s="284"/>
      <c r="C21" s="326"/>
      <c r="D21" s="331"/>
      <c r="E21" s="327"/>
      <c r="F21" s="327"/>
      <c r="G21" s="327"/>
      <c r="H21" s="326"/>
      <c r="I21" s="329"/>
      <c r="J21" s="329"/>
      <c r="K21" s="329"/>
      <c r="L21" s="329"/>
      <c r="M21" s="329"/>
      <c r="N21" s="329"/>
      <c r="O21" s="467"/>
      <c r="P21" s="327"/>
      <c r="Q21" s="327"/>
      <c r="R21" s="332">
        <v>0</v>
      </c>
      <c r="S21" s="332"/>
      <c r="W21" s="515"/>
    </row>
    <row r="22" spans="1:23" s="242" customFormat="1" ht="15" customHeight="1">
      <c r="A22" s="283"/>
      <c r="B22" s="284"/>
      <c r="C22" s="875">
        <v>2</v>
      </c>
      <c r="D22" s="875"/>
      <c r="E22" s="491">
        <v>2</v>
      </c>
      <c r="F22" s="491">
        <v>1</v>
      </c>
      <c r="G22" s="491">
        <v>3</v>
      </c>
      <c r="H22" s="516" t="s">
        <v>14</v>
      </c>
      <c r="I22" s="517" t="s">
        <v>60</v>
      </c>
      <c r="J22" s="329"/>
      <c r="K22" s="329"/>
      <c r="L22" s="329"/>
      <c r="M22" s="329"/>
      <c r="N22" s="329"/>
      <c r="O22" s="467"/>
      <c r="P22" s="327"/>
      <c r="Q22" s="327"/>
      <c r="R22" s="332">
        <v>0</v>
      </c>
      <c r="S22" s="518">
        <f>SUM(S23:S25)</f>
        <v>56700000</v>
      </c>
      <c r="W22" s="515"/>
    </row>
    <row r="23" spans="1:23" s="242" customFormat="1" ht="15" customHeight="1">
      <c r="A23" s="283"/>
      <c r="B23" s="284"/>
      <c r="C23" s="326"/>
      <c r="D23" s="331"/>
      <c r="E23" s="327"/>
      <c r="F23" s="327"/>
      <c r="G23" s="327"/>
      <c r="H23" s="516"/>
      <c r="I23" s="329" t="s">
        <v>535</v>
      </c>
      <c r="J23" s="329"/>
      <c r="K23" s="329"/>
      <c r="L23" s="329"/>
      <c r="M23" s="329"/>
      <c r="N23" s="329"/>
      <c r="O23" s="467"/>
      <c r="P23" s="519">
        <v>125</v>
      </c>
      <c r="Q23" s="327" t="s">
        <v>413</v>
      </c>
      <c r="R23" s="332">
        <v>450000</v>
      </c>
      <c r="S23" s="332">
        <f>P23*R23</f>
        <v>56250000</v>
      </c>
      <c r="W23" s="515"/>
    </row>
    <row r="24" spans="1:23" s="242" customFormat="1" ht="15" customHeight="1">
      <c r="A24" s="283"/>
      <c r="B24" s="284"/>
      <c r="C24" s="326"/>
      <c r="D24" s="331"/>
      <c r="E24" s="327"/>
      <c r="F24" s="327"/>
      <c r="G24" s="327"/>
      <c r="H24" s="516"/>
      <c r="I24" s="329" t="s">
        <v>569</v>
      </c>
      <c r="J24" s="329"/>
      <c r="K24" s="329"/>
      <c r="L24" s="329"/>
      <c r="M24" s="329"/>
      <c r="N24" s="329"/>
      <c r="O24" s="467"/>
      <c r="P24" s="520">
        <v>1</v>
      </c>
      <c r="Q24" s="327" t="s">
        <v>435</v>
      </c>
      <c r="R24" s="332">
        <v>450000</v>
      </c>
      <c r="S24" s="332">
        <f t="shared" ref="S24:S25" si="1">P24*R24</f>
        <v>450000</v>
      </c>
      <c r="W24" s="515"/>
    </row>
    <row r="25" spans="1:23" s="242" customFormat="1" ht="15" customHeight="1">
      <c r="A25" s="283"/>
      <c r="B25" s="284"/>
      <c r="C25" s="326"/>
      <c r="D25" s="331"/>
      <c r="E25" s="327"/>
      <c r="F25" s="327"/>
      <c r="G25" s="327"/>
      <c r="H25" s="516"/>
      <c r="I25" s="329"/>
      <c r="J25" s="329"/>
      <c r="K25" s="329"/>
      <c r="L25" s="329"/>
      <c r="M25" s="329"/>
      <c r="N25" s="329"/>
      <c r="O25" s="467"/>
      <c r="P25" s="519"/>
      <c r="Q25" s="327"/>
      <c r="R25" s="332"/>
      <c r="S25" s="332">
        <f t="shared" si="1"/>
        <v>0</v>
      </c>
      <c r="W25" s="515"/>
    </row>
    <row r="26" spans="1:23" s="242" customFormat="1" ht="15" customHeight="1">
      <c r="A26" s="283"/>
      <c r="B26" s="284"/>
      <c r="C26" s="889"/>
      <c r="D26" s="889"/>
      <c r="E26" s="426"/>
      <c r="F26" s="426"/>
      <c r="G26" s="426"/>
      <c r="H26" s="760" t="s">
        <v>163</v>
      </c>
      <c r="I26" s="761"/>
      <c r="J26" s="761"/>
      <c r="K26" s="761"/>
      <c r="L26" s="761"/>
      <c r="M26" s="761"/>
      <c r="N26" s="761"/>
      <c r="O26" s="764"/>
      <c r="P26" s="442"/>
      <c r="Q26" s="442"/>
      <c r="R26" s="428"/>
      <c r="S26" s="429">
        <f>S18+S22</f>
        <v>63770000</v>
      </c>
    </row>
    <row r="27" spans="1:23" s="242" customFormat="1" ht="16.5">
      <c r="A27" s="283"/>
      <c r="B27" s="284"/>
      <c r="C27" s="351"/>
      <c r="D27" s="286"/>
      <c r="E27" s="286"/>
      <c r="F27" s="286"/>
      <c r="G27" s="286"/>
      <c r="H27" s="455"/>
      <c r="I27" s="455"/>
      <c r="J27" s="455"/>
      <c r="K27" s="284"/>
      <c r="L27" s="284"/>
      <c r="M27" s="284"/>
      <c r="N27" s="284"/>
      <c r="O27" s="284"/>
      <c r="P27" s="284"/>
      <c r="Q27" s="284"/>
      <c r="R27" s="352"/>
      <c r="S27" s="353"/>
    </row>
    <row r="28" spans="1:23" s="242" customFormat="1" ht="16.5">
      <c r="A28" s="283"/>
      <c r="B28" s="284"/>
      <c r="C28" s="351"/>
      <c r="D28" s="286"/>
      <c r="E28" s="286"/>
      <c r="F28" s="286"/>
      <c r="G28" s="286"/>
      <c r="H28" s="455"/>
      <c r="I28" s="455"/>
      <c r="J28" s="455"/>
      <c r="K28" s="284"/>
      <c r="L28" s="284"/>
      <c r="M28" s="284"/>
      <c r="N28" s="284"/>
      <c r="O28" s="284"/>
      <c r="P28" s="284"/>
      <c r="Q28" s="284"/>
      <c r="R28" s="352"/>
      <c r="S28" s="353"/>
    </row>
    <row r="29" spans="1:23" s="242" customFormat="1" ht="16.5">
      <c r="A29" s="283"/>
      <c r="B29" s="284"/>
      <c r="C29" s="283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 t="s">
        <v>553</v>
      </c>
      <c r="S29" s="285"/>
    </row>
    <row r="30" spans="1:23" s="242" customFormat="1" ht="16.5">
      <c r="A30" s="283"/>
      <c r="B30" s="284"/>
      <c r="C30" s="283"/>
      <c r="D30" s="284"/>
      <c r="E30" s="284"/>
      <c r="F30" s="284"/>
      <c r="G30" s="284"/>
      <c r="H30" s="284"/>
      <c r="I30" s="286" t="s">
        <v>168</v>
      </c>
      <c r="J30" s="284"/>
      <c r="K30" s="284"/>
      <c r="L30" s="284"/>
      <c r="M30" s="284"/>
      <c r="N30" s="284"/>
      <c r="O30" s="284"/>
      <c r="P30" s="284"/>
      <c r="Q30" s="284"/>
      <c r="R30" s="469" t="s">
        <v>193</v>
      </c>
      <c r="S30" s="285"/>
    </row>
    <row r="31" spans="1:23" s="242" customFormat="1" ht="16.5">
      <c r="A31" s="283"/>
      <c r="B31" s="284"/>
      <c r="C31" s="283"/>
      <c r="D31" s="284"/>
      <c r="E31" s="284"/>
      <c r="F31" s="284"/>
      <c r="G31" s="284"/>
      <c r="H31" s="284"/>
      <c r="I31" s="286" t="s">
        <v>298</v>
      </c>
      <c r="J31" s="284"/>
      <c r="K31" s="284"/>
      <c r="L31" s="284"/>
      <c r="M31" s="284"/>
      <c r="N31" s="284"/>
      <c r="O31" s="284"/>
      <c r="P31" s="284"/>
      <c r="Q31" s="284"/>
      <c r="R31" s="284"/>
      <c r="S31" s="285"/>
    </row>
    <row r="32" spans="1:23" s="242" customFormat="1" ht="16.5">
      <c r="A32" s="283"/>
      <c r="B32" s="284"/>
      <c r="C32" s="283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5"/>
    </row>
    <row r="33" spans="1:19" s="242" customFormat="1" ht="16.5">
      <c r="A33" s="283"/>
      <c r="B33" s="284"/>
      <c r="C33" s="283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5"/>
    </row>
    <row r="34" spans="1:19" s="242" customFormat="1" ht="16.5">
      <c r="A34" s="283"/>
      <c r="B34" s="284"/>
      <c r="C34" s="283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5"/>
    </row>
    <row r="35" spans="1:19" s="242" customFormat="1" ht="16.5">
      <c r="A35" s="283"/>
      <c r="B35" s="284"/>
      <c r="C35" s="283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5"/>
    </row>
    <row r="36" spans="1:19" s="242" customFormat="1" ht="16.5">
      <c r="A36" s="283"/>
      <c r="B36" s="284"/>
      <c r="C36" s="283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5"/>
    </row>
    <row r="37" spans="1:19" s="242" customFormat="1" ht="16.5">
      <c r="A37" s="283"/>
      <c r="B37" s="284"/>
      <c r="C37" s="283"/>
      <c r="D37" s="284"/>
      <c r="E37" s="284"/>
      <c r="F37" s="284"/>
      <c r="G37" s="284"/>
      <c r="H37" s="284"/>
      <c r="I37" s="303" t="s">
        <v>304</v>
      </c>
      <c r="J37" s="284"/>
      <c r="K37" s="284"/>
      <c r="L37" s="284"/>
      <c r="M37" s="284"/>
      <c r="N37" s="284"/>
      <c r="O37" s="284"/>
      <c r="P37" s="284"/>
      <c r="Q37" s="284"/>
      <c r="R37" s="303" t="s">
        <v>305</v>
      </c>
      <c r="S37" s="285"/>
    </row>
    <row r="38" spans="1:19" s="242" customFormat="1" ht="16.5">
      <c r="A38" s="287"/>
      <c r="B38" s="288"/>
      <c r="C38" s="287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9"/>
    </row>
    <row r="39" spans="1:19" s="242" customFormat="1" ht="16.5"/>
    <row r="40" spans="1:19" s="242" customFormat="1" ht="16.5"/>
    <row r="41" spans="1:19" s="242" customFormat="1" ht="16.5"/>
    <row r="42" spans="1:19" s="242" customFormat="1" ht="16.5"/>
    <row r="43" spans="1:19" s="242" customFormat="1" ht="16.5"/>
    <row r="44" spans="1:19" s="242" customFormat="1" ht="16.5"/>
    <row r="45" spans="1:19" s="242" customFormat="1" ht="16.5"/>
    <row r="46" spans="1:19" s="242" customFormat="1" ht="16.5"/>
    <row r="47" spans="1:19" s="242" customFormat="1" ht="16.5"/>
    <row r="48" spans="1:19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  <row r="193" s="242" customFormat="1" ht="16.5"/>
    <row r="194" s="242" customFormat="1" ht="16.5"/>
    <row r="195" s="242" customFormat="1" ht="16.5"/>
    <row r="196" s="242" customFormat="1" ht="16.5"/>
    <row r="197" s="242" customFormat="1" ht="16.5"/>
    <row r="198" s="242" customFormat="1" ht="16.5"/>
    <row r="199" s="242" customFormat="1" ht="16.5"/>
    <row r="200" s="242" customFormat="1" ht="16.5"/>
    <row r="201" s="242" customFormat="1" ht="16.5"/>
    <row r="202" s="242" customFormat="1" ht="16.5"/>
    <row r="203" s="242" customFormat="1" ht="16.5"/>
    <row r="204" s="242" customFormat="1" ht="16.5"/>
    <row r="205" s="242" customFormat="1" ht="16.5"/>
  </sheetData>
  <mergeCells count="18">
    <mergeCell ref="H26:O26"/>
    <mergeCell ref="C18:D18"/>
    <mergeCell ref="I18:K18"/>
    <mergeCell ref="C19:D19"/>
    <mergeCell ref="C26:D26"/>
    <mergeCell ref="C22:D22"/>
    <mergeCell ref="C20:D20"/>
    <mergeCell ref="S15:S16"/>
    <mergeCell ref="C17:G17"/>
    <mergeCell ref="C1:S1"/>
    <mergeCell ref="C2:S2"/>
    <mergeCell ref="C3:S3"/>
    <mergeCell ref="L6:S6"/>
    <mergeCell ref="L11:S11"/>
    <mergeCell ref="C15:G16"/>
    <mergeCell ref="H15:O16"/>
    <mergeCell ref="P15:P16"/>
    <mergeCell ref="Q15:Q16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06"/>
  <sheetViews>
    <sheetView topLeftCell="A5" workbookViewId="0">
      <selection activeCell="J22" sqref="J22"/>
    </sheetView>
  </sheetViews>
  <sheetFormatPr defaultRowHeight="15"/>
  <cols>
    <col min="1" max="1" width="5.140625" customWidth="1"/>
    <col min="2" max="2" width="1.85546875" customWidth="1"/>
    <col min="5" max="9" width="1.7109375" customWidth="1"/>
    <col min="10" max="16" width="3.7109375" customWidth="1"/>
    <col min="17" max="19" width="14.28515625" customWidth="1"/>
  </cols>
  <sheetData>
    <row r="1" spans="1:19" ht="16.5">
      <c r="A1" s="800" t="s">
        <v>582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</row>
    <row r="2" spans="1:19" ht="16.5">
      <c r="A2" s="800" t="s">
        <v>583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  <c r="O2" s="800"/>
      <c r="P2" s="800"/>
      <c r="Q2" s="800"/>
      <c r="R2" s="800"/>
      <c r="S2" s="800"/>
    </row>
    <row r="3" spans="1:19" ht="16.5">
      <c r="A3" s="800" t="s">
        <v>584</v>
      </c>
      <c r="B3" s="800"/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0"/>
      <c r="Q3" s="800"/>
      <c r="R3" s="800"/>
      <c r="S3" s="800"/>
    </row>
    <row r="4" spans="1:19" ht="15.75">
      <c r="A4" s="709" t="s">
        <v>585</v>
      </c>
      <c r="B4" s="710"/>
      <c r="C4" s="710"/>
      <c r="D4" s="711">
        <v>628601000</v>
      </c>
      <c r="E4" s="710"/>
      <c r="F4" s="710"/>
      <c r="G4" s="710"/>
      <c r="H4" s="710"/>
      <c r="I4" s="710"/>
      <c r="J4" s="710"/>
      <c r="K4" s="710"/>
      <c r="L4" s="710"/>
      <c r="M4" s="710"/>
      <c r="N4" s="710"/>
      <c r="O4" s="710"/>
      <c r="P4" s="710"/>
      <c r="Q4" s="710"/>
      <c r="R4" s="710"/>
      <c r="S4" s="710"/>
    </row>
    <row r="5" spans="1:19" ht="16.5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</row>
    <row r="6" spans="1:19">
      <c r="A6" s="801" t="s">
        <v>610</v>
      </c>
      <c r="B6" s="803" t="s">
        <v>611</v>
      </c>
      <c r="C6" s="804"/>
      <c r="D6" s="804"/>
      <c r="E6" s="804"/>
      <c r="F6" s="804"/>
      <c r="G6" s="804"/>
      <c r="H6" s="804"/>
      <c r="I6" s="804"/>
      <c r="J6" s="804"/>
      <c r="K6" s="804"/>
      <c r="L6" s="804"/>
      <c r="M6" s="804"/>
      <c r="N6" s="804"/>
      <c r="O6" s="804"/>
      <c r="P6" s="805"/>
      <c r="Q6" s="809" t="s">
        <v>612</v>
      </c>
      <c r="R6" s="809" t="s">
        <v>613</v>
      </c>
      <c r="S6" s="809" t="s">
        <v>614</v>
      </c>
    </row>
    <row r="7" spans="1:19">
      <c r="A7" s="802"/>
      <c r="B7" s="806"/>
      <c r="C7" s="807"/>
      <c r="D7" s="807"/>
      <c r="E7" s="807"/>
      <c r="F7" s="807"/>
      <c r="G7" s="807"/>
      <c r="H7" s="807"/>
      <c r="I7" s="807"/>
      <c r="J7" s="807"/>
      <c r="K7" s="807"/>
      <c r="L7" s="807"/>
      <c r="M7" s="807"/>
      <c r="N7" s="807"/>
      <c r="O7" s="807"/>
      <c r="P7" s="808"/>
      <c r="Q7" s="810"/>
      <c r="R7" s="810"/>
      <c r="S7" s="810"/>
    </row>
    <row r="8" spans="1:19">
      <c r="A8" s="716">
        <v>1</v>
      </c>
      <c r="B8" s="791">
        <v>2</v>
      </c>
      <c r="C8" s="792"/>
      <c r="D8" s="792"/>
      <c r="E8" s="792"/>
      <c r="F8" s="792"/>
      <c r="G8" s="792"/>
      <c r="H8" s="792"/>
      <c r="I8" s="792"/>
      <c r="J8" s="792"/>
      <c r="K8" s="792"/>
      <c r="L8" s="792"/>
      <c r="M8" s="792"/>
      <c r="N8" s="792"/>
      <c r="O8" s="792"/>
      <c r="P8" s="793"/>
      <c r="Q8" s="722">
        <v>3</v>
      </c>
      <c r="R8" s="722"/>
      <c r="S8" s="722"/>
    </row>
    <row r="9" spans="1:19">
      <c r="A9" s="717">
        <v>1</v>
      </c>
      <c r="B9" s="794" t="s">
        <v>133</v>
      </c>
      <c r="C9" s="795"/>
      <c r="D9" s="795"/>
      <c r="E9" s="795"/>
      <c r="F9" s="795"/>
      <c r="G9" s="795"/>
      <c r="H9" s="795"/>
      <c r="I9" s="795"/>
      <c r="J9" s="712"/>
      <c r="K9" s="712"/>
      <c r="L9" s="712"/>
      <c r="M9" s="712"/>
      <c r="N9" s="712"/>
      <c r="O9" s="712"/>
      <c r="P9" s="723"/>
      <c r="Q9" s="724">
        <f>SUM(Q10)</f>
        <v>377160600</v>
      </c>
      <c r="R9" s="724">
        <f>R10</f>
        <v>377160600</v>
      </c>
      <c r="S9" s="724">
        <f>Q9-R9</f>
        <v>0</v>
      </c>
    </row>
    <row r="10" spans="1:19">
      <c r="A10" s="718">
        <v>1.1000000000000001</v>
      </c>
      <c r="B10" s="796" t="s">
        <v>139</v>
      </c>
      <c r="C10" s="797"/>
      <c r="D10" s="797"/>
      <c r="E10" s="797"/>
      <c r="F10" s="797"/>
      <c r="G10" s="797"/>
      <c r="H10" s="797"/>
      <c r="I10" s="797"/>
      <c r="J10" s="797"/>
      <c r="K10" s="725"/>
      <c r="L10" s="725"/>
      <c r="M10" s="725"/>
      <c r="N10" s="725"/>
      <c r="O10" s="725"/>
      <c r="P10" s="726"/>
      <c r="Q10" s="727">
        <f>SUM(Q11:Q13)</f>
        <v>377160600</v>
      </c>
      <c r="R10" s="727">
        <f>SUM(R11:R13)</f>
        <v>377160600</v>
      </c>
      <c r="S10" s="727">
        <f>SUM(S11:S13)</f>
        <v>0</v>
      </c>
    </row>
    <row r="11" spans="1:19">
      <c r="A11" s="719"/>
      <c r="B11" s="713" t="s">
        <v>14</v>
      </c>
      <c r="C11" s="714" t="s">
        <v>586</v>
      </c>
      <c r="D11" s="714"/>
      <c r="E11" s="714"/>
      <c r="F11" s="714"/>
      <c r="G11" s="714"/>
      <c r="H11" s="714"/>
      <c r="I11" s="714"/>
      <c r="J11" s="715"/>
      <c r="K11" s="715"/>
      <c r="L11" s="715"/>
      <c r="M11" s="715"/>
      <c r="N11" s="715"/>
      <c r="O11" s="728"/>
      <c r="P11" s="729"/>
      <c r="Q11" s="730">
        <v>377160600</v>
      </c>
      <c r="R11" s="731">
        <f>Q11</f>
        <v>377160600</v>
      </c>
      <c r="S11" s="731">
        <f>Q11-R11</f>
        <v>0</v>
      </c>
    </row>
    <row r="12" spans="1:19">
      <c r="A12" s="719"/>
      <c r="B12" s="713" t="s">
        <v>14</v>
      </c>
      <c r="C12" s="714" t="s">
        <v>587</v>
      </c>
      <c r="D12" s="714"/>
      <c r="E12" s="714"/>
      <c r="F12" s="714"/>
      <c r="G12" s="714"/>
      <c r="H12" s="714"/>
      <c r="I12" s="714"/>
      <c r="J12" s="715"/>
      <c r="K12" s="715"/>
      <c r="L12" s="715"/>
      <c r="M12" s="715"/>
      <c r="N12" s="715"/>
      <c r="O12" s="728"/>
      <c r="P12" s="729"/>
      <c r="Q12" s="732">
        <v>0</v>
      </c>
      <c r="R12" s="731">
        <f>Q12</f>
        <v>0</v>
      </c>
      <c r="S12" s="731">
        <f>Q12-R12</f>
        <v>0</v>
      </c>
    </row>
    <row r="13" spans="1:19">
      <c r="A13" s="719"/>
      <c r="B13" s="713" t="s">
        <v>14</v>
      </c>
      <c r="C13" s="714" t="s">
        <v>588</v>
      </c>
      <c r="D13" s="714"/>
      <c r="E13" s="714"/>
      <c r="F13" s="714"/>
      <c r="G13" s="714"/>
      <c r="H13" s="714"/>
      <c r="I13" s="714"/>
      <c r="J13" s="715"/>
      <c r="K13" s="715"/>
      <c r="L13" s="715"/>
      <c r="M13" s="715"/>
      <c r="N13" s="715"/>
      <c r="O13" s="728"/>
      <c r="P13" s="729"/>
      <c r="Q13" s="732">
        <v>0</v>
      </c>
      <c r="R13" s="731">
        <f>Q13</f>
        <v>0</v>
      </c>
      <c r="S13" s="731">
        <f>Q13-R13</f>
        <v>0</v>
      </c>
    </row>
    <row r="14" spans="1:19">
      <c r="A14" s="720"/>
      <c r="B14" s="798"/>
      <c r="C14" s="799"/>
      <c r="D14" s="799"/>
      <c r="E14" s="799"/>
      <c r="F14" s="799"/>
      <c r="G14" s="799"/>
      <c r="H14" s="799"/>
      <c r="I14" s="799"/>
      <c r="J14" s="715"/>
      <c r="K14" s="715"/>
      <c r="L14" s="715"/>
      <c r="M14" s="715"/>
      <c r="N14" s="715"/>
      <c r="O14" s="715"/>
      <c r="P14" s="733"/>
      <c r="Q14" s="731"/>
      <c r="R14" s="731"/>
      <c r="S14" s="731"/>
    </row>
    <row r="15" spans="1:19">
      <c r="A15" s="718">
        <v>2</v>
      </c>
      <c r="B15" s="718" t="s">
        <v>149</v>
      </c>
      <c r="C15" s="734"/>
      <c r="D15" s="734"/>
      <c r="E15" s="734"/>
      <c r="F15" s="734"/>
      <c r="G15" s="734"/>
      <c r="H15" s="734"/>
      <c r="I15" s="734"/>
      <c r="J15" s="715"/>
      <c r="K15" s="715"/>
      <c r="L15" s="715"/>
      <c r="M15" s="715"/>
      <c r="N15" s="715"/>
      <c r="O15" s="715"/>
      <c r="P15" s="733"/>
      <c r="Q15" s="735">
        <f>Q16+Q95+Q144+Q173</f>
        <v>377160600</v>
      </c>
      <c r="R15" s="735">
        <f>R16+R95+R144+R173</f>
        <v>377160600</v>
      </c>
      <c r="S15" s="735"/>
    </row>
    <row r="16" spans="1:19">
      <c r="A16" s="718">
        <v>2.1</v>
      </c>
      <c r="B16" s="718" t="s">
        <v>82</v>
      </c>
      <c r="C16" s="736"/>
      <c r="D16" s="736"/>
      <c r="E16" s="736"/>
      <c r="F16" s="736"/>
      <c r="G16" s="736"/>
      <c r="H16" s="736"/>
      <c r="I16" s="736"/>
      <c r="J16" s="737"/>
      <c r="K16" s="737"/>
      <c r="L16" s="737"/>
      <c r="M16" s="737"/>
      <c r="N16" s="737"/>
      <c r="O16" s="737"/>
      <c r="P16" s="738"/>
      <c r="Q16" s="735">
        <f>Q17+Q23+Q39+Q47+Q53+Q57+Q64+Q68+Q75+Q81+Q88</f>
        <v>0</v>
      </c>
      <c r="R16" s="735">
        <f>R17+R23+R39+R47+R53+R57+R64+R68+R75+R81+R88</f>
        <v>0</v>
      </c>
      <c r="S16" s="735"/>
    </row>
    <row r="17" spans="1:19">
      <c r="A17" s="718" t="s">
        <v>589</v>
      </c>
      <c r="B17" s="718" t="s">
        <v>174</v>
      </c>
      <c r="C17" s="714"/>
      <c r="D17" s="714"/>
      <c r="E17" s="714"/>
      <c r="F17" s="714"/>
      <c r="G17" s="714"/>
      <c r="H17" s="714"/>
      <c r="I17" s="714"/>
      <c r="J17" s="715"/>
      <c r="K17" s="715"/>
      <c r="L17" s="715"/>
      <c r="M17" s="715"/>
      <c r="N17" s="715"/>
      <c r="O17" s="715"/>
      <c r="P17" s="733"/>
      <c r="Q17" s="735">
        <f>SUM(Q18)</f>
        <v>0</v>
      </c>
      <c r="R17" s="735">
        <f>SUM(R18)</f>
        <v>0</v>
      </c>
      <c r="S17" s="735"/>
    </row>
    <row r="18" spans="1:19">
      <c r="A18" s="721"/>
      <c r="B18" s="785" t="s">
        <v>150</v>
      </c>
      <c r="C18" s="786"/>
      <c r="D18" s="786"/>
      <c r="E18" s="786"/>
      <c r="F18" s="786"/>
      <c r="G18" s="786"/>
      <c r="H18" s="786"/>
      <c r="I18" s="786"/>
      <c r="J18" s="715"/>
      <c r="K18" s="715"/>
      <c r="L18" s="715"/>
      <c r="M18" s="715"/>
      <c r="N18" s="715"/>
      <c r="O18" s="715"/>
      <c r="P18" s="733"/>
      <c r="Q18" s="735">
        <f>SUM(Q19:Q21)</f>
        <v>0</v>
      </c>
      <c r="R18" s="735">
        <f>SUM(R19:R21)</f>
        <v>0</v>
      </c>
      <c r="S18" s="735"/>
    </row>
    <row r="19" spans="1:19">
      <c r="A19" s="721"/>
      <c r="B19" s="739" t="s">
        <v>14</v>
      </c>
      <c r="C19" s="714" t="s">
        <v>83</v>
      </c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40"/>
      <c r="Q19" s="741">
        <v>0</v>
      </c>
      <c r="R19" s="741">
        <v>0</v>
      </c>
      <c r="S19" s="741"/>
    </row>
    <row r="20" spans="1:19">
      <c r="A20" s="721"/>
      <c r="B20" s="739" t="s">
        <v>14</v>
      </c>
      <c r="C20" s="714" t="s">
        <v>284</v>
      </c>
      <c r="D20" s="714"/>
      <c r="E20" s="714"/>
      <c r="F20" s="714"/>
      <c r="G20" s="714"/>
      <c r="H20" s="714"/>
      <c r="I20" s="714"/>
      <c r="J20" s="714"/>
      <c r="K20" s="714"/>
      <c r="L20" s="714"/>
      <c r="M20" s="714"/>
      <c r="N20" s="714"/>
      <c r="O20" s="714"/>
      <c r="P20" s="740"/>
      <c r="Q20" s="742">
        <v>0</v>
      </c>
      <c r="R20" s="742">
        <v>0</v>
      </c>
      <c r="S20" s="742"/>
    </row>
    <row r="21" spans="1:19">
      <c r="A21" s="721"/>
      <c r="B21" s="739" t="s">
        <v>14</v>
      </c>
      <c r="C21" s="714" t="s">
        <v>23</v>
      </c>
      <c r="D21" s="714"/>
      <c r="E21" s="714"/>
      <c r="F21" s="714"/>
      <c r="G21" s="714"/>
      <c r="H21" s="714"/>
      <c r="I21" s="714"/>
      <c r="J21" s="714"/>
      <c r="K21" s="714"/>
      <c r="L21" s="714"/>
      <c r="M21" s="714"/>
      <c r="N21" s="714"/>
      <c r="O21" s="714"/>
      <c r="P21" s="740"/>
      <c r="Q21" s="741">
        <v>0</v>
      </c>
      <c r="R21" s="741">
        <v>0</v>
      </c>
      <c r="S21" s="741"/>
    </row>
    <row r="22" spans="1:19">
      <c r="A22" s="721"/>
      <c r="B22" s="739"/>
      <c r="C22" s="714"/>
      <c r="D22" s="714"/>
      <c r="E22" s="714"/>
      <c r="F22" s="714"/>
      <c r="G22" s="714"/>
      <c r="H22" s="714"/>
      <c r="I22" s="714"/>
      <c r="J22" s="714"/>
      <c r="K22" s="714"/>
      <c r="L22" s="714"/>
      <c r="M22" s="714"/>
      <c r="N22" s="714"/>
      <c r="O22" s="714"/>
      <c r="P22" s="740"/>
      <c r="Q22" s="741">
        <v>0</v>
      </c>
      <c r="R22" s="741">
        <v>0</v>
      </c>
      <c r="S22" s="741"/>
    </row>
    <row r="23" spans="1:19">
      <c r="A23" s="718" t="s">
        <v>590</v>
      </c>
      <c r="B23" s="718" t="s">
        <v>84</v>
      </c>
      <c r="C23" s="714"/>
      <c r="D23" s="714"/>
      <c r="E23" s="714"/>
      <c r="F23" s="714"/>
      <c r="G23" s="714"/>
      <c r="H23" s="714"/>
      <c r="I23" s="714"/>
      <c r="J23" s="715"/>
      <c r="K23" s="715"/>
      <c r="L23" s="715"/>
      <c r="M23" s="715"/>
      <c r="N23" s="715"/>
      <c r="O23" s="715"/>
      <c r="P23" s="733"/>
      <c r="Q23" s="743">
        <f>SUM(Q24+Q32)</f>
        <v>0</v>
      </c>
      <c r="R23" s="743">
        <f>SUM(R24+R32)</f>
        <v>0</v>
      </c>
      <c r="S23" s="743"/>
    </row>
    <row r="24" spans="1:19">
      <c r="A24" s="721"/>
      <c r="B24" s="721" t="s">
        <v>29</v>
      </c>
      <c r="C24" s="714"/>
      <c r="D24" s="714"/>
      <c r="E24" s="714"/>
      <c r="F24" s="714"/>
      <c r="G24" s="714"/>
      <c r="H24" s="714"/>
      <c r="I24" s="714"/>
      <c r="J24" s="715"/>
      <c r="K24" s="715"/>
      <c r="L24" s="715"/>
      <c r="M24" s="715"/>
      <c r="N24" s="715"/>
      <c r="O24" s="715"/>
      <c r="P24" s="733"/>
      <c r="Q24" s="743">
        <f>SUM(Q25:Q31)</f>
        <v>0</v>
      </c>
      <c r="R24" s="743">
        <f>SUM(R25:R31)</f>
        <v>0</v>
      </c>
      <c r="S24" s="743"/>
    </row>
    <row r="25" spans="1:19">
      <c r="A25" s="721"/>
      <c r="B25" s="739" t="s">
        <v>14</v>
      </c>
      <c r="C25" s="714" t="s">
        <v>30</v>
      </c>
      <c r="D25" s="714"/>
      <c r="E25" s="714"/>
      <c r="F25" s="714"/>
      <c r="G25" s="714"/>
      <c r="H25" s="714"/>
      <c r="I25" s="714"/>
      <c r="J25" s="715"/>
      <c r="K25" s="715"/>
      <c r="L25" s="715"/>
      <c r="M25" s="715"/>
      <c r="N25" s="715"/>
      <c r="O25" s="715"/>
      <c r="P25" s="733"/>
      <c r="Q25" s="741">
        <v>0</v>
      </c>
      <c r="R25" s="741">
        <v>0</v>
      </c>
      <c r="S25" s="741"/>
    </row>
    <row r="26" spans="1:19">
      <c r="A26" s="721"/>
      <c r="B26" s="739" t="s">
        <v>14</v>
      </c>
      <c r="C26" s="714" t="s">
        <v>195</v>
      </c>
      <c r="D26" s="714"/>
      <c r="E26" s="714"/>
      <c r="F26" s="714"/>
      <c r="G26" s="714"/>
      <c r="H26" s="714"/>
      <c r="I26" s="714"/>
      <c r="J26" s="715"/>
      <c r="K26" s="715"/>
      <c r="L26" s="715"/>
      <c r="M26" s="715"/>
      <c r="N26" s="715"/>
      <c r="O26" s="715"/>
      <c r="P26" s="733"/>
      <c r="Q26" s="741">
        <v>0</v>
      </c>
      <c r="R26" s="741">
        <v>0</v>
      </c>
      <c r="S26" s="741"/>
    </row>
    <row r="27" spans="1:19">
      <c r="A27" s="721"/>
      <c r="B27" s="739" t="s">
        <v>14</v>
      </c>
      <c r="C27" s="714" t="s">
        <v>260</v>
      </c>
      <c r="D27" s="714"/>
      <c r="E27" s="714"/>
      <c r="F27" s="714"/>
      <c r="G27" s="714"/>
      <c r="H27" s="714"/>
      <c r="I27" s="714"/>
      <c r="J27" s="715"/>
      <c r="K27" s="715"/>
      <c r="L27" s="715"/>
      <c r="M27" s="715"/>
      <c r="N27" s="715"/>
      <c r="O27" s="715"/>
      <c r="P27" s="733"/>
      <c r="Q27" s="741">
        <v>0</v>
      </c>
      <c r="R27" s="741">
        <v>0</v>
      </c>
      <c r="S27" s="741"/>
    </row>
    <row r="28" spans="1:19">
      <c r="A28" s="721"/>
      <c r="B28" s="739" t="s">
        <v>14</v>
      </c>
      <c r="C28" s="744" t="s">
        <v>495</v>
      </c>
      <c r="D28" s="714"/>
      <c r="E28" s="714"/>
      <c r="F28" s="714"/>
      <c r="G28" s="714"/>
      <c r="H28" s="714"/>
      <c r="I28" s="714"/>
      <c r="J28" s="715"/>
      <c r="K28" s="715"/>
      <c r="L28" s="715"/>
      <c r="M28" s="715"/>
      <c r="N28" s="715"/>
      <c r="O28" s="715"/>
      <c r="P28" s="733"/>
      <c r="Q28" s="741">
        <v>0</v>
      </c>
      <c r="R28" s="741">
        <v>0</v>
      </c>
      <c r="S28" s="741"/>
    </row>
    <row r="29" spans="1:19">
      <c r="A29" s="721"/>
      <c r="B29" s="739" t="s">
        <v>14</v>
      </c>
      <c r="C29" s="714" t="s">
        <v>40</v>
      </c>
      <c r="D29" s="714"/>
      <c r="E29" s="714"/>
      <c r="F29" s="714"/>
      <c r="G29" s="714"/>
      <c r="H29" s="714"/>
      <c r="I29" s="714"/>
      <c r="J29" s="715"/>
      <c r="K29" s="715"/>
      <c r="L29" s="715"/>
      <c r="M29" s="715"/>
      <c r="N29" s="715"/>
      <c r="O29" s="715"/>
      <c r="P29" s="733"/>
      <c r="Q29" s="741">
        <v>0</v>
      </c>
      <c r="R29" s="741">
        <v>0</v>
      </c>
      <c r="S29" s="741"/>
    </row>
    <row r="30" spans="1:19">
      <c r="A30" s="721"/>
      <c r="B30" s="739" t="s">
        <v>14</v>
      </c>
      <c r="C30" s="714" t="s">
        <v>152</v>
      </c>
      <c r="D30" s="714"/>
      <c r="E30" s="714"/>
      <c r="F30" s="714"/>
      <c r="G30" s="714"/>
      <c r="H30" s="714"/>
      <c r="I30" s="714"/>
      <c r="J30" s="715"/>
      <c r="K30" s="715"/>
      <c r="L30" s="715"/>
      <c r="M30" s="715"/>
      <c r="N30" s="715"/>
      <c r="O30" s="715"/>
      <c r="P30" s="733"/>
      <c r="Q30" s="741">
        <v>0</v>
      </c>
      <c r="R30" s="741">
        <v>0</v>
      </c>
      <c r="S30" s="741"/>
    </row>
    <row r="31" spans="1:19">
      <c r="A31" s="721"/>
      <c r="B31" s="739" t="s">
        <v>14</v>
      </c>
      <c r="C31" s="714" t="s">
        <v>153</v>
      </c>
      <c r="D31" s="714"/>
      <c r="E31" s="714"/>
      <c r="F31" s="714"/>
      <c r="G31" s="714"/>
      <c r="H31" s="714"/>
      <c r="I31" s="714"/>
      <c r="J31" s="715"/>
      <c r="K31" s="715"/>
      <c r="L31" s="715"/>
      <c r="M31" s="715"/>
      <c r="N31" s="715"/>
      <c r="O31" s="715"/>
      <c r="P31" s="733"/>
      <c r="Q31" s="741">
        <v>0</v>
      </c>
      <c r="R31" s="741">
        <v>0</v>
      </c>
      <c r="S31" s="741"/>
    </row>
    <row r="32" spans="1:19">
      <c r="A32" s="721"/>
      <c r="B32" s="721" t="s">
        <v>60</v>
      </c>
      <c r="C32" s="714"/>
      <c r="D32" s="714"/>
      <c r="E32" s="714"/>
      <c r="F32" s="714"/>
      <c r="G32" s="714"/>
      <c r="H32" s="714"/>
      <c r="I32" s="714"/>
      <c r="J32" s="715"/>
      <c r="K32" s="715"/>
      <c r="L32" s="715"/>
      <c r="M32" s="715"/>
      <c r="N32" s="715"/>
      <c r="O32" s="715"/>
      <c r="P32" s="733"/>
      <c r="Q32" s="745">
        <f>SUM(Q33:Q37)</f>
        <v>0</v>
      </c>
      <c r="R32" s="745">
        <f>SUM(R33:R37)</f>
        <v>0</v>
      </c>
      <c r="S32" s="745"/>
    </row>
    <row r="33" spans="1:19">
      <c r="A33" s="721"/>
      <c r="B33" s="739" t="s">
        <v>14</v>
      </c>
      <c r="C33" s="786" t="s">
        <v>615</v>
      </c>
      <c r="D33" s="786"/>
      <c r="E33" s="786"/>
      <c r="F33" s="786"/>
      <c r="G33" s="786"/>
      <c r="H33" s="786"/>
      <c r="I33" s="786"/>
      <c r="J33" s="715"/>
      <c r="K33" s="715"/>
      <c r="L33" s="715"/>
      <c r="M33" s="715"/>
      <c r="N33" s="715"/>
      <c r="O33" s="715"/>
      <c r="P33" s="733"/>
      <c r="Q33" s="741">
        <v>0</v>
      </c>
      <c r="R33" s="741">
        <v>0</v>
      </c>
      <c r="S33" s="741"/>
    </row>
    <row r="34" spans="1:19">
      <c r="A34" s="721"/>
      <c r="B34" s="739" t="s">
        <v>14</v>
      </c>
      <c r="C34" s="786" t="s">
        <v>616</v>
      </c>
      <c r="D34" s="786"/>
      <c r="E34" s="786"/>
      <c r="F34" s="786"/>
      <c r="G34" s="786"/>
      <c r="H34" s="786"/>
      <c r="I34" s="786"/>
      <c r="J34" s="715"/>
      <c r="K34" s="715"/>
      <c r="L34" s="715"/>
      <c r="M34" s="715"/>
      <c r="N34" s="715"/>
      <c r="O34" s="715"/>
      <c r="P34" s="733"/>
      <c r="Q34" s="741">
        <v>0</v>
      </c>
      <c r="R34" s="741">
        <v>0</v>
      </c>
      <c r="S34" s="741"/>
    </row>
    <row r="35" spans="1:19">
      <c r="A35" s="721"/>
      <c r="B35" s="739" t="s">
        <v>14</v>
      </c>
      <c r="C35" s="714" t="s">
        <v>617</v>
      </c>
      <c r="D35" s="714"/>
      <c r="E35" s="714"/>
      <c r="F35" s="714"/>
      <c r="G35" s="714"/>
      <c r="H35" s="714"/>
      <c r="I35" s="714"/>
      <c r="J35" s="715"/>
      <c r="K35" s="715"/>
      <c r="L35" s="715"/>
      <c r="M35" s="715"/>
      <c r="N35" s="715"/>
      <c r="O35" s="715"/>
      <c r="P35" s="733"/>
      <c r="Q35" s="741">
        <v>0</v>
      </c>
      <c r="R35" s="741">
        <v>0</v>
      </c>
      <c r="S35" s="741"/>
    </row>
    <row r="36" spans="1:19">
      <c r="A36" s="721"/>
      <c r="B36" s="739" t="s">
        <v>14</v>
      </c>
      <c r="C36" s="714">
        <f>'[2]RAB 2.1.2 OKE'!F73</f>
        <v>0</v>
      </c>
      <c r="D36" s="714"/>
      <c r="E36" s="714"/>
      <c r="F36" s="714"/>
      <c r="G36" s="714"/>
      <c r="H36" s="714"/>
      <c r="I36" s="714"/>
      <c r="J36" s="715"/>
      <c r="K36" s="715"/>
      <c r="L36" s="715"/>
      <c r="M36" s="715"/>
      <c r="N36" s="715"/>
      <c r="O36" s="715"/>
      <c r="P36" s="733"/>
      <c r="Q36" s="741">
        <v>0</v>
      </c>
      <c r="R36" s="741">
        <v>0</v>
      </c>
      <c r="S36" s="741"/>
    </row>
    <row r="37" spans="1:19">
      <c r="A37" s="721"/>
      <c r="B37" s="739" t="s">
        <v>14</v>
      </c>
      <c r="C37" s="714" t="str">
        <f>'[2]RAB 2.1.2 OKE'!F74</f>
        <v>Meja Kerja</v>
      </c>
      <c r="D37" s="714"/>
      <c r="E37" s="714"/>
      <c r="F37" s="714"/>
      <c r="G37" s="714"/>
      <c r="H37" s="714"/>
      <c r="I37" s="714"/>
      <c r="J37" s="715"/>
      <c r="K37" s="715"/>
      <c r="L37" s="715"/>
      <c r="M37" s="715"/>
      <c r="N37" s="715"/>
      <c r="O37" s="715"/>
      <c r="P37" s="733"/>
      <c r="Q37" s="741">
        <v>0</v>
      </c>
      <c r="R37" s="741">
        <v>0</v>
      </c>
      <c r="S37" s="741"/>
    </row>
    <row r="38" spans="1:19">
      <c r="A38" s="721"/>
      <c r="B38" s="739"/>
      <c r="C38" s="714"/>
      <c r="D38" s="714"/>
      <c r="E38" s="714"/>
      <c r="F38" s="714"/>
      <c r="G38" s="714"/>
      <c r="H38" s="714"/>
      <c r="I38" s="714"/>
      <c r="J38" s="715"/>
      <c r="K38" s="715"/>
      <c r="L38" s="715"/>
      <c r="M38" s="715"/>
      <c r="N38" s="715"/>
      <c r="O38" s="715"/>
      <c r="P38" s="733"/>
      <c r="Q38" s="741"/>
      <c r="R38" s="741"/>
      <c r="S38" s="741"/>
    </row>
    <row r="39" spans="1:19">
      <c r="A39" s="718" t="s">
        <v>591</v>
      </c>
      <c r="B39" s="718" t="s">
        <v>85</v>
      </c>
      <c r="C39" s="714"/>
      <c r="D39" s="714"/>
      <c r="E39" s="714"/>
      <c r="F39" s="714"/>
      <c r="G39" s="714"/>
      <c r="H39" s="714"/>
      <c r="I39" s="714"/>
      <c r="J39" s="715"/>
      <c r="K39" s="715"/>
      <c r="L39" s="715"/>
      <c r="M39" s="715"/>
      <c r="N39" s="715"/>
      <c r="O39" s="715"/>
      <c r="P39" s="733"/>
      <c r="Q39" s="745">
        <f>SUM(Q40)</f>
        <v>0</v>
      </c>
      <c r="R39" s="745">
        <f>SUM(R40)</f>
        <v>0</v>
      </c>
      <c r="S39" s="745"/>
    </row>
    <row r="40" spans="1:19">
      <c r="A40" s="721"/>
      <c r="B40" s="785" t="s">
        <v>29</v>
      </c>
      <c r="C40" s="786"/>
      <c r="D40" s="786"/>
      <c r="E40" s="786"/>
      <c r="F40" s="786"/>
      <c r="G40" s="786"/>
      <c r="H40" s="786"/>
      <c r="I40" s="786"/>
      <c r="J40" s="715"/>
      <c r="K40" s="715"/>
      <c r="L40" s="715"/>
      <c r="M40" s="715"/>
      <c r="N40" s="715"/>
      <c r="O40" s="715"/>
      <c r="P40" s="733"/>
      <c r="Q40" s="745">
        <f>SUM(Q41:Q45)</f>
        <v>0</v>
      </c>
      <c r="R40" s="745">
        <f>SUM(R41:R45)</f>
        <v>0</v>
      </c>
      <c r="S40" s="745"/>
    </row>
    <row r="41" spans="1:19">
      <c r="A41" s="721"/>
      <c r="B41" s="739" t="s">
        <v>14</v>
      </c>
      <c r="C41" s="786" t="s">
        <v>171</v>
      </c>
      <c r="D41" s="786"/>
      <c r="E41" s="786"/>
      <c r="F41" s="786"/>
      <c r="G41" s="786"/>
      <c r="H41" s="786"/>
      <c r="I41" s="786"/>
      <c r="J41" s="715"/>
      <c r="K41" s="715"/>
      <c r="L41" s="715"/>
      <c r="M41" s="715"/>
      <c r="N41" s="715"/>
      <c r="O41" s="715"/>
      <c r="P41" s="733"/>
      <c r="Q41" s="741">
        <v>0</v>
      </c>
      <c r="R41" s="741">
        <v>0</v>
      </c>
      <c r="S41" s="741"/>
    </row>
    <row r="42" spans="1:19">
      <c r="A42" s="721"/>
      <c r="B42" s="739" t="s">
        <v>14</v>
      </c>
      <c r="C42" s="786" t="s">
        <v>154</v>
      </c>
      <c r="D42" s="786"/>
      <c r="E42" s="786"/>
      <c r="F42" s="786"/>
      <c r="G42" s="786"/>
      <c r="H42" s="786"/>
      <c r="I42" s="786"/>
      <c r="J42" s="715"/>
      <c r="K42" s="715"/>
      <c r="L42" s="715"/>
      <c r="M42" s="715"/>
      <c r="N42" s="715"/>
      <c r="O42" s="715"/>
      <c r="P42" s="733"/>
      <c r="Q42" s="741">
        <v>0</v>
      </c>
      <c r="R42" s="741">
        <v>0</v>
      </c>
      <c r="S42" s="741"/>
    </row>
    <row r="43" spans="1:19">
      <c r="A43" s="721"/>
      <c r="B43" s="739" t="s">
        <v>14</v>
      </c>
      <c r="C43" s="786" t="s">
        <v>68</v>
      </c>
      <c r="D43" s="786"/>
      <c r="E43" s="786"/>
      <c r="F43" s="786"/>
      <c r="G43" s="786"/>
      <c r="H43" s="786"/>
      <c r="I43" s="786"/>
      <c r="J43" s="715"/>
      <c r="K43" s="715"/>
      <c r="L43" s="715"/>
      <c r="M43" s="715"/>
      <c r="N43" s="715"/>
      <c r="O43" s="715"/>
      <c r="P43" s="733"/>
      <c r="Q43" s="741">
        <v>0</v>
      </c>
      <c r="R43" s="741">
        <v>0</v>
      </c>
      <c r="S43" s="741"/>
    </row>
    <row r="44" spans="1:19">
      <c r="A44" s="721"/>
      <c r="B44" s="739" t="s">
        <v>14</v>
      </c>
      <c r="C44" s="786" t="s">
        <v>70</v>
      </c>
      <c r="D44" s="786"/>
      <c r="E44" s="786"/>
      <c r="F44" s="786"/>
      <c r="G44" s="786"/>
      <c r="H44" s="786"/>
      <c r="I44" s="786"/>
      <c r="J44" s="746"/>
      <c r="K44" s="746"/>
      <c r="L44" s="746"/>
      <c r="M44" s="746"/>
      <c r="N44" s="746"/>
      <c r="O44" s="746"/>
      <c r="P44" s="747"/>
      <c r="Q44" s="741">
        <v>0</v>
      </c>
      <c r="R44" s="741">
        <v>0</v>
      </c>
      <c r="S44" s="741"/>
    </row>
    <row r="45" spans="1:19">
      <c r="A45" s="721"/>
      <c r="B45" s="739" t="s">
        <v>14</v>
      </c>
      <c r="C45" s="786" t="s">
        <v>618</v>
      </c>
      <c r="D45" s="786"/>
      <c r="E45" s="786"/>
      <c r="F45" s="786"/>
      <c r="G45" s="786"/>
      <c r="H45" s="786"/>
      <c r="I45" s="786"/>
      <c r="J45" s="715"/>
      <c r="K45" s="715"/>
      <c r="L45" s="715"/>
      <c r="M45" s="715"/>
      <c r="N45" s="715"/>
      <c r="O45" s="715"/>
      <c r="P45" s="733"/>
      <c r="Q45" s="741">
        <v>0</v>
      </c>
      <c r="R45" s="741">
        <v>0</v>
      </c>
      <c r="S45" s="741"/>
    </row>
    <row r="46" spans="1:19">
      <c r="A46" s="721"/>
      <c r="B46" s="739"/>
      <c r="C46" s="714"/>
      <c r="D46" s="714"/>
      <c r="E46" s="714"/>
      <c r="F46" s="714"/>
      <c r="G46" s="714"/>
      <c r="H46" s="714"/>
      <c r="I46" s="714"/>
      <c r="J46" s="715"/>
      <c r="K46" s="715"/>
      <c r="L46" s="715"/>
      <c r="M46" s="715"/>
      <c r="N46" s="715"/>
      <c r="O46" s="715"/>
      <c r="P46" s="733"/>
      <c r="Q46" s="741"/>
      <c r="R46" s="741"/>
      <c r="S46" s="741"/>
    </row>
    <row r="47" spans="1:19">
      <c r="A47" s="718" t="s">
        <v>592</v>
      </c>
      <c r="B47" s="718" t="s">
        <v>227</v>
      </c>
      <c r="C47" s="714"/>
      <c r="D47" s="714"/>
      <c r="E47" s="714"/>
      <c r="F47" s="714"/>
      <c r="G47" s="714"/>
      <c r="H47" s="714"/>
      <c r="I47" s="714"/>
      <c r="J47" s="715"/>
      <c r="K47" s="715"/>
      <c r="L47" s="715"/>
      <c r="M47" s="715"/>
      <c r="N47" s="715"/>
      <c r="O47" s="715"/>
      <c r="P47" s="733"/>
      <c r="Q47" s="745">
        <f>SUM(Q48)</f>
        <v>0</v>
      </c>
      <c r="R47" s="745">
        <f>SUM(R48)</f>
        <v>0</v>
      </c>
      <c r="S47" s="745"/>
    </row>
    <row r="48" spans="1:19">
      <c r="A48" s="721"/>
      <c r="B48" s="785" t="s">
        <v>29</v>
      </c>
      <c r="C48" s="786"/>
      <c r="D48" s="786"/>
      <c r="E48" s="786"/>
      <c r="F48" s="786"/>
      <c r="G48" s="786"/>
      <c r="H48" s="786"/>
      <c r="I48" s="786"/>
      <c r="J48" s="715"/>
      <c r="K48" s="715"/>
      <c r="L48" s="715"/>
      <c r="M48" s="715"/>
      <c r="N48" s="715"/>
      <c r="O48" s="715"/>
      <c r="P48" s="733"/>
      <c r="Q48" s="745">
        <f>Q50+Q51</f>
        <v>0</v>
      </c>
      <c r="R48" s="745">
        <f>R50+R51</f>
        <v>0</v>
      </c>
      <c r="S48" s="745"/>
    </row>
    <row r="49" spans="1:19">
      <c r="A49" s="721"/>
      <c r="B49" s="739" t="s">
        <v>14</v>
      </c>
      <c r="C49" s="786" t="s">
        <v>619</v>
      </c>
      <c r="D49" s="786"/>
      <c r="E49" s="786"/>
      <c r="F49" s="786"/>
      <c r="G49" s="786"/>
      <c r="H49" s="786"/>
      <c r="I49" s="786"/>
      <c r="J49" s="715"/>
      <c r="K49" s="715"/>
      <c r="L49" s="715"/>
      <c r="M49" s="715"/>
      <c r="N49" s="715"/>
      <c r="O49" s="715"/>
      <c r="P49" s="733"/>
      <c r="Q49" s="745"/>
      <c r="R49" s="745"/>
      <c r="S49" s="745"/>
    </row>
    <row r="50" spans="1:19">
      <c r="A50" s="721"/>
      <c r="B50" s="739"/>
      <c r="C50" s="790" t="s">
        <v>263</v>
      </c>
      <c r="D50" s="786"/>
      <c r="E50" s="786"/>
      <c r="F50" s="786"/>
      <c r="G50" s="786"/>
      <c r="H50" s="786"/>
      <c r="I50" s="786"/>
      <c r="J50" s="715"/>
      <c r="K50" s="715"/>
      <c r="L50" s="715"/>
      <c r="M50" s="715"/>
      <c r="N50" s="715"/>
      <c r="O50" s="715"/>
      <c r="P50" s="733"/>
      <c r="Q50" s="741">
        <v>0</v>
      </c>
      <c r="R50" s="741">
        <v>0</v>
      </c>
      <c r="S50" s="741"/>
    </row>
    <row r="51" spans="1:19">
      <c r="A51" s="721"/>
      <c r="B51" s="739"/>
      <c r="C51" s="713" t="s">
        <v>264</v>
      </c>
      <c r="D51" s="714"/>
      <c r="E51" s="714"/>
      <c r="F51" s="714"/>
      <c r="G51" s="714"/>
      <c r="H51" s="714"/>
      <c r="I51" s="714"/>
      <c r="J51" s="715"/>
      <c r="K51" s="715"/>
      <c r="L51" s="715"/>
      <c r="M51" s="715"/>
      <c r="N51" s="715"/>
      <c r="O51" s="715"/>
      <c r="P51" s="733"/>
      <c r="Q51" s="741">
        <v>0</v>
      </c>
      <c r="R51" s="741">
        <v>0</v>
      </c>
      <c r="S51" s="741"/>
    </row>
    <row r="52" spans="1:19">
      <c r="A52" s="721"/>
      <c r="B52" s="739"/>
      <c r="C52" s="713"/>
      <c r="D52" s="714"/>
      <c r="E52" s="714"/>
      <c r="F52" s="714"/>
      <c r="G52" s="714"/>
      <c r="H52" s="714"/>
      <c r="I52" s="714"/>
      <c r="J52" s="715"/>
      <c r="K52" s="715"/>
      <c r="L52" s="715"/>
      <c r="M52" s="715"/>
      <c r="N52" s="715"/>
      <c r="O52" s="715"/>
      <c r="P52" s="733"/>
      <c r="Q52" s="741"/>
      <c r="R52" s="741"/>
      <c r="S52" s="741"/>
    </row>
    <row r="53" spans="1:19">
      <c r="A53" s="718" t="s">
        <v>593</v>
      </c>
      <c r="B53" s="748" t="s">
        <v>283</v>
      </c>
      <c r="C53" s="749"/>
      <c r="D53" s="749"/>
      <c r="E53" s="715"/>
      <c r="F53" s="715"/>
      <c r="G53" s="715"/>
      <c r="H53" s="715"/>
      <c r="I53" s="715"/>
      <c r="J53" s="715"/>
      <c r="K53" s="715"/>
      <c r="L53" s="715"/>
      <c r="M53" s="715"/>
      <c r="N53" s="715"/>
      <c r="O53" s="715"/>
      <c r="P53" s="733"/>
      <c r="Q53" s="745">
        <f>SUM(Q54)</f>
        <v>0</v>
      </c>
      <c r="R53" s="745">
        <f>SUM(R54)</f>
        <v>0</v>
      </c>
      <c r="S53" s="745"/>
    </row>
    <row r="54" spans="1:19">
      <c r="A54" s="721"/>
      <c r="B54" s="785" t="s">
        <v>29</v>
      </c>
      <c r="C54" s="786"/>
      <c r="D54" s="786"/>
      <c r="E54" s="715"/>
      <c r="F54" s="715"/>
      <c r="G54" s="715"/>
      <c r="H54" s="715"/>
      <c r="I54" s="714"/>
      <c r="J54" s="714"/>
      <c r="K54" s="714"/>
      <c r="L54" s="714"/>
      <c r="M54" s="714"/>
      <c r="N54" s="714"/>
      <c r="O54" s="714"/>
      <c r="P54" s="740"/>
      <c r="Q54" s="745">
        <f>SUM(Q55:Q55)</f>
        <v>0</v>
      </c>
      <c r="R54" s="745">
        <f>SUM(R55:R55)</f>
        <v>0</v>
      </c>
      <c r="S54" s="745"/>
    </row>
    <row r="55" spans="1:19">
      <c r="A55" s="721"/>
      <c r="B55" s="739" t="s">
        <v>14</v>
      </c>
      <c r="C55" s="786" t="s">
        <v>620</v>
      </c>
      <c r="D55" s="786"/>
      <c r="E55" s="746"/>
      <c r="F55" s="715"/>
      <c r="G55" s="715"/>
      <c r="H55" s="715"/>
      <c r="I55" s="715"/>
      <c r="J55" s="715"/>
      <c r="K55" s="715"/>
      <c r="L55" s="715"/>
      <c r="M55" s="715"/>
      <c r="N55" s="715"/>
      <c r="O55" s="715"/>
      <c r="P55" s="733"/>
      <c r="Q55" s="741">
        <v>0</v>
      </c>
      <c r="R55" s="741">
        <v>0</v>
      </c>
      <c r="S55" s="741"/>
    </row>
    <row r="56" spans="1:19">
      <c r="A56" s="721"/>
      <c r="B56" s="739"/>
      <c r="C56" s="714"/>
      <c r="D56" s="714"/>
      <c r="E56" s="746"/>
      <c r="F56" s="715"/>
      <c r="G56" s="715"/>
      <c r="H56" s="715"/>
      <c r="I56" s="715"/>
      <c r="J56" s="715"/>
      <c r="K56" s="715"/>
      <c r="L56" s="715"/>
      <c r="M56" s="715"/>
      <c r="N56" s="715"/>
      <c r="O56" s="715"/>
      <c r="P56" s="733"/>
      <c r="Q56" s="741"/>
      <c r="R56" s="741"/>
      <c r="S56" s="741"/>
    </row>
    <row r="57" spans="1:19">
      <c r="A57" s="718" t="s">
        <v>594</v>
      </c>
      <c r="B57" s="748" t="s">
        <v>433</v>
      </c>
      <c r="C57" s="749"/>
      <c r="D57" s="749"/>
      <c r="E57" s="715"/>
      <c r="F57" s="715"/>
      <c r="G57" s="715"/>
      <c r="H57" s="715"/>
      <c r="I57" s="715"/>
      <c r="J57" s="715"/>
      <c r="K57" s="715"/>
      <c r="L57" s="715"/>
      <c r="M57" s="715"/>
      <c r="N57" s="715"/>
      <c r="O57" s="715"/>
      <c r="P57" s="733"/>
      <c r="Q57" s="745">
        <f>SUM(Q58)+Q62</f>
        <v>0</v>
      </c>
      <c r="R57" s="745">
        <f>SUM(R58)+R62</f>
        <v>0</v>
      </c>
      <c r="S57" s="745"/>
    </row>
    <row r="58" spans="1:19">
      <c r="A58" s="721"/>
      <c r="B58" s="785" t="s">
        <v>29</v>
      </c>
      <c r="C58" s="786"/>
      <c r="D58" s="786"/>
      <c r="E58" s="715"/>
      <c r="F58" s="715"/>
      <c r="G58" s="715"/>
      <c r="H58" s="715"/>
      <c r="I58" s="714"/>
      <c r="J58" s="714"/>
      <c r="K58" s="714"/>
      <c r="L58" s="714"/>
      <c r="M58" s="714"/>
      <c r="N58" s="714"/>
      <c r="O58" s="714"/>
      <c r="P58" s="740"/>
      <c r="Q58" s="745">
        <f>SUM(Q59:Q61)</f>
        <v>0</v>
      </c>
      <c r="R58" s="745">
        <f>SUM(R59:R61)</f>
        <v>0</v>
      </c>
      <c r="S58" s="745"/>
    </row>
    <row r="59" spans="1:19">
      <c r="A59" s="721"/>
      <c r="B59" s="739"/>
      <c r="C59" s="786">
        <f>'[2]RAB 2.1.8 OKE '!F12</f>
        <v>0</v>
      </c>
      <c r="D59" s="786"/>
      <c r="E59" s="746"/>
      <c r="F59" s="715"/>
      <c r="G59" s="715"/>
      <c r="H59" s="715"/>
      <c r="I59" s="715"/>
      <c r="J59" s="715"/>
      <c r="K59" s="715"/>
      <c r="L59" s="715"/>
      <c r="M59" s="715"/>
      <c r="N59" s="715"/>
      <c r="O59" s="715"/>
      <c r="P59" s="733"/>
      <c r="Q59" s="741">
        <v>0</v>
      </c>
      <c r="R59" s="741">
        <v>0</v>
      </c>
      <c r="S59" s="741"/>
    </row>
    <row r="60" spans="1:19">
      <c r="A60" s="721"/>
      <c r="B60" s="739"/>
      <c r="C60" s="714" t="str">
        <f>'[2]RAB 2.1.8 OKE '!F13</f>
        <v>Belanja Barang &amp; Jasa</v>
      </c>
      <c r="D60" s="714"/>
      <c r="E60" s="746"/>
      <c r="F60" s="715"/>
      <c r="G60" s="715"/>
      <c r="H60" s="715"/>
      <c r="I60" s="715"/>
      <c r="J60" s="715"/>
      <c r="K60" s="715"/>
      <c r="L60" s="715"/>
      <c r="M60" s="715"/>
      <c r="N60" s="715"/>
      <c r="O60" s="715"/>
      <c r="P60" s="733"/>
      <c r="Q60" s="741">
        <v>0</v>
      </c>
      <c r="R60" s="741">
        <v>0</v>
      </c>
      <c r="S60" s="741"/>
    </row>
    <row r="61" spans="1:19">
      <c r="A61" s="721"/>
      <c r="B61" s="739"/>
      <c r="C61" s="713" t="s">
        <v>14</v>
      </c>
      <c r="D61" s="714" t="str">
        <f>'[2]RAB 2.1.8 OKE '!F15</f>
        <v>- Pendataan</v>
      </c>
      <c r="E61" s="746"/>
      <c r="F61" s="715"/>
      <c r="G61" s="715"/>
      <c r="H61" s="715"/>
      <c r="I61" s="715"/>
      <c r="J61" s="715"/>
      <c r="K61" s="715"/>
      <c r="L61" s="715"/>
      <c r="M61" s="715"/>
      <c r="N61" s="715"/>
      <c r="O61" s="715"/>
      <c r="P61" s="733"/>
      <c r="Q61" s="741">
        <v>0</v>
      </c>
      <c r="R61" s="741">
        <v>0</v>
      </c>
      <c r="S61" s="741"/>
    </row>
    <row r="62" spans="1:19">
      <c r="A62" s="721"/>
      <c r="B62" s="721" t="s">
        <v>60</v>
      </c>
      <c r="C62" s="714"/>
      <c r="D62" s="714"/>
      <c r="E62" s="714"/>
      <c r="F62" s="714"/>
      <c r="G62" s="714"/>
      <c r="H62" s="714"/>
      <c r="I62" s="714"/>
      <c r="J62" s="715"/>
      <c r="K62" s="715"/>
      <c r="L62" s="715"/>
      <c r="M62" s="715"/>
      <c r="N62" s="715"/>
      <c r="O62" s="715"/>
      <c r="P62" s="733"/>
      <c r="Q62" s="745">
        <f>Q63</f>
        <v>0</v>
      </c>
      <c r="R62" s="745">
        <f>R63</f>
        <v>0</v>
      </c>
      <c r="S62" s="745"/>
    </row>
    <row r="63" spans="1:19">
      <c r="A63" s="721"/>
      <c r="B63" s="739"/>
      <c r="C63" s="750" t="s">
        <v>14</v>
      </c>
      <c r="D63" s="749" t="str">
        <f>'[2]RAB 2.1.8 OKE '!F20</f>
        <v>Penghapus</v>
      </c>
      <c r="E63" s="746"/>
      <c r="F63" s="715"/>
      <c r="G63" s="715"/>
      <c r="H63" s="715"/>
      <c r="I63" s="715"/>
      <c r="J63" s="715"/>
      <c r="K63" s="715"/>
      <c r="L63" s="715"/>
      <c r="M63" s="715"/>
      <c r="N63" s="715"/>
      <c r="O63" s="715"/>
      <c r="P63" s="733"/>
      <c r="Q63" s="741">
        <v>0</v>
      </c>
      <c r="R63" s="741">
        <v>0</v>
      </c>
      <c r="S63" s="741"/>
    </row>
    <row r="64" spans="1:19">
      <c r="A64" s="718" t="s">
        <v>595</v>
      </c>
      <c r="B64" s="748" t="s">
        <v>621</v>
      </c>
      <c r="C64" s="749"/>
      <c r="D64" s="749"/>
      <c r="E64" s="715"/>
      <c r="F64" s="715"/>
      <c r="G64" s="715"/>
      <c r="H64" s="715"/>
      <c r="I64" s="715"/>
      <c r="J64" s="715"/>
      <c r="K64" s="715"/>
      <c r="L64" s="715"/>
      <c r="M64" s="715"/>
      <c r="N64" s="715"/>
      <c r="O64" s="715"/>
      <c r="P64" s="733"/>
      <c r="Q64" s="745">
        <f>SUM(Q65)</f>
        <v>0</v>
      </c>
      <c r="R64" s="745">
        <f>SUM(R65)</f>
        <v>0</v>
      </c>
      <c r="S64" s="745"/>
    </row>
    <row r="65" spans="1:19">
      <c r="A65" s="721"/>
      <c r="B65" s="785" t="s">
        <v>29</v>
      </c>
      <c r="C65" s="786"/>
      <c r="D65" s="786"/>
      <c r="E65" s="715"/>
      <c r="F65" s="715"/>
      <c r="G65" s="715"/>
      <c r="H65" s="715"/>
      <c r="I65" s="714"/>
      <c r="J65" s="714"/>
      <c r="K65" s="714"/>
      <c r="L65" s="714"/>
      <c r="M65" s="714"/>
      <c r="N65" s="714"/>
      <c r="O65" s="714"/>
      <c r="P65" s="740"/>
      <c r="Q65" s="745">
        <f>SUM(Q66:Q66)</f>
        <v>0</v>
      </c>
      <c r="R65" s="745">
        <f>SUM(R66:R66)</f>
        <v>0</v>
      </c>
      <c r="S65" s="745"/>
    </row>
    <row r="66" spans="1:19">
      <c r="A66" s="721"/>
      <c r="B66" s="739" t="s">
        <v>14</v>
      </c>
      <c r="C66" s="786" t="s">
        <v>622</v>
      </c>
      <c r="D66" s="786"/>
      <c r="E66" s="746"/>
      <c r="F66" s="715"/>
      <c r="G66" s="715"/>
      <c r="H66" s="715"/>
      <c r="I66" s="715"/>
      <c r="J66" s="715"/>
      <c r="K66" s="715"/>
      <c r="L66" s="715"/>
      <c r="M66" s="715"/>
      <c r="N66" s="715"/>
      <c r="O66" s="715"/>
      <c r="P66" s="733"/>
      <c r="Q66" s="741">
        <v>0</v>
      </c>
      <c r="R66" s="741">
        <v>0</v>
      </c>
      <c r="S66" s="741"/>
    </row>
    <row r="67" spans="1:19">
      <c r="A67" s="721"/>
      <c r="B67" s="739"/>
      <c r="C67" s="714"/>
      <c r="D67" s="714"/>
      <c r="E67" s="746"/>
      <c r="F67" s="715"/>
      <c r="G67" s="715"/>
      <c r="H67" s="715"/>
      <c r="I67" s="715"/>
      <c r="J67" s="715"/>
      <c r="K67" s="715"/>
      <c r="L67" s="715"/>
      <c r="M67" s="715"/>
      <c r="N67" s="715"/>
      <c r="O67" s="715"/>
      <c r="P67" s="733"/>
      <c r="Q67" s="741"/>
      <c r="R67" s="741"/>
      <c r="S67" s="741"/>
    </row>
    <row r="68" spans="1:19">
      <c r="A68" s="718" t="s">
        <v>596</v>
      </c>
      <c r="B68" s="718" t="s">
        <v>205</v>
      </c>
      <c r="C68" s="714"/>
      <c r="D68" s="714"/>
      <c r="E68" s="715"/>
      <c r="F68" s="715"/>
      <c r="G68" s="715"/>
      <c r="H68" s="715"/>
      <c r="I68" s="715"/>
      <c r="J68" s="715"/>
      <c r="K68" s="715"/>
      <c r="L68" s="715"/>
      <c r="M68" s="715"/>
      <c r="N68" s="715"/>
      <c r="O68" s="715"/>
      <c r="P68" s="733"/>
      <c r="Q68" s="745">
        <f>Q69</f>
        <v>0</v>
      </c>
      <c r="R68" s="745">
        <f>R69</f>
        <v>0</v>
      </c>
      <c r="S68" s="745"/>
    </row>
    <row r="69" spans="1:19">
      <c r="A69" s="721"/>
      <c r="B69" s="785" t="s">
        <v>29</v>
      </c>
      <c r="C69" s="786"/>
      <c r="D69" s="786"/>
      <c r="E69" s="715"/>
      <c r="F69" s="715"/>
      <c r="G69" s="715"/>
      <c r="H69" s="715"/>
      <c r="I69" s="715"/>
      <c r="J69" s="715"/>
      <c r="K69" s="715"/>
      <c r="L69" s="715"/>
      <c r="M69" s="715"/>
      <c r="N69" s="715"/>
      <c r="O69" s="715"/>
      <c r="P69" s="733"/>
      <c r="Q69" s="741">
        <v>0</v>
      </c>
      <c r="R69" s="741">
        <v>0</v>
      </c>
      <c r="S69" s="741"/>
    </row>
    <row r="70" spans="1:19">
      <c r="A70" s="721"/>
      <c r="B70" s="751" t="s">
        <v>14</v>
      </c>
      <c r="C70" s="714" t="s">
        <v>204</v>
      </c>
      <c r="D70" s="714"/>
      <c r="E70" s="715"/>
      <c r="F70" s="715"/>
      <c r="G70" s="715"/>
      <c r="H70" s="715"/>
      <c r="I70" s="715"/>
      <c r="J70" s="715"/>
      <c r="K70" s="715"/>
      <c r="L70" s="715"/>
      <c r="M70" s="715"/>
      <c r="N70" s="715"/>
      <c r="O70" s="715"/>
      <c r="P70" s="733"/>
      <c r="Q70" s="741">
        <v>0</v>
      </c>
      <c r="R70" s="741">
        <v>0</v>
      </c>
      <c r="S70" s="741"/>
    </row>
    <row r="71" spans="1:19">
      <c r="A71" s="721"/>
      <c r="B71" s="751" t="s">
        <v>14</v>
      </c>
      <c r="C71" s="714" t="s">
        <v>51</v>
      </c>
      <c r="D71" s="714"/>
      <c r="E71" s="715"/>
      <c r="F71" s="715"/>
      <c r="G71" s="715"/>
      <c r="H71" s="715"/>
      <c r="I71" s="715"/>
      <c r="J71" s="715"/>
      <c r="K71" s="715"/>
      <c r="L71" s="715"/>
      <c r="M71" s="715"/>
      <c r="N71" s="715"/>
      <c r="O71" s="715"/>
      <c r="P71" s="733"/>
      <c r="Q71" s="741">
        <v>0</v>
      </c>
      <c r="R71" s="741">
        <v>0</v>
      </c>
      <c r="S71" s="741"/>
    </row>
    <row r="72" spans="1:19">
      <c r="A72" s="721"/>
      <c r="B72" s="739" t="s">
        <v>14</v>
      </c>
      <c r="C72" s="786" t="s">
        <v>77</v>
      </c>
      <c r="D72" s="786"/>
      <c r="E72" s="715"/>
      <c r="F72" s="715"/>
      <c r="G72" s="715"/>
      <c r="H72" s="715"/>
      <c r="I72" s="715"/>
      <c r="J72" s="715"/>
      <c r="K72" s="715"/>
      <c r="L72" s="715"/>
      <c r="M72" s="715"/>
      <c r="N72" s="715"/>
      <c r="O72" s="715"/>
      <c r="P72" s="733"/>
      <c r="Q72" s="741">
        <v>0</v>
      </c>
      <c r="R72" s="741">
        <v>0</v>
      </c>
      <c r="S72" s="741"/>
    </row>
    <row r="73" spans="1:19">
      <c r="A73" s="721"/>
      <c r="B73" s="739" t="s">
        <v>14</v>
      </c>
      <c r="C73" s="786" t="s">
        <v>178</v>
      </c>
      <c r="D73" s="786"/>
      <c r="E73" s="715"/>
      <c r="F73" s="715"/>
      <c r="G73" s="715"/>
      <c r="H73" s="715"/>
      <c r="I73" s="715"/>
      <c r="J73" s="715"/>
      <c r="K73" s="715"/>
      <c r="L73" s="715"/>
      <c r="M73" s="715"/>
      <c r="N73" s="715"/>
      <c r="O73" s="715"/>
      <c r="P73" s="733"/>
      <c r="Q73" s="741">
        <v>0</v>
      </c>
      <c r="R73" s="741">
        <v>0</v>
      </c>
      <c r="S73" s="741"/>
    </row>
    <row r="74" spans="1:19">
      <c r="A74" s="721"/>
      <c r="B74" s="739"/>
      <c r="C74" s="714"/>
      <c r="D74" s="714"/>
      <c r="E74" s="715"/>
      <c r="F74" s="715"/>
      <c r="G74" s="715"/>
      <c r="H74" s="715"/>
      <c r="I74" s="715"/>
      <c r="J74" s="715"/>
      <c r="K74" s="715"/>
      <c r="L74" s="715"/>
      <c r="M74" s="715"/>
      <c r="N74" s="715"/>
      <c r="O74" s="715"/>
      <c r="P74" s="733"/>
      <c r="Q74" s="741"/>
      <c r="R74" s="741"/>
      <c r="S74" s="741"/>
    </row>
    <row r="75" spans="1:19">
      <c r="A75" s="718" t="s">
        <v>597</v>
      </c>
      <c r="B75" s="718" t="s">
        <v>623</v>
      </c>
      <c r="C75" s="714"/>
      <c r="D75" s="714"/>
      <c r="E75" s="715"/>
      <c r="F75" s="715"/>
      <c r="G75" s="715"/>
      <c r="H75" s="715"/>
      <c r="I75" s="715"/>
      <c r="J75" s="715"/>
      <c r="K75" s="715"/>
      <c r="L75" s="715"/>
      <c r="M75" s="715"/>
      <c r="N75" s="715"/>
      <c r="O75" s="715"/>
      <c r="P75" s="733"/>
      <c r="Q75" s="745">
        <f>Q76</f>
        <v>0</v>
      </c>
      <c r="R75" s="745">
        <f>R76</f>
        <v>0</v>
      </c>
      <c r="S75" s="745"/>
    </row>
    <row r="76" spans="1:19">
      <c r="A76" s="721"/>
      <c r="B76" s="785" t="s">
        <v>29</v>
      </c>
      <c r="C76" s="786"/>
      <c r="D76" s="786"/>
      <c r="E76" s="715"/>
      <c r="F76" s="715"/>
      <c r="G76" s="715"/>
      <c r="H76" s="715"/>
      <c r="I76" s="715"/>
      <c r="J76" s="715"/>
      <c r="K76" s="715"/>
      <c r="L76" s="715"/>
      <c r="M76" s="715"/>
      <c r="N76" s="715"/>
      <c r="O76" s="715"/>
      <c r="P76" s="733"/>
      <c r="Q76" s="741">
        <v>0</v>
      </c>
      <c r="R76" s="741">
        <v>0</v>
      </c>
      <c r="S76" s="741"/>
    </row>
    <row r="77" spans="1:19">
      <c r="A77" s="721"/>
      <c r="B77" s="751" t="s">
        <v>14</v>
      </c>
      <c r="C77" s="714" t="s">
        <v>204</v>
      </c>
      <c r="D77" s="714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/>
      <c r="P77" s="733"/>
      <c r="Q77" s="741">
        <v>0</v>
      </c>
      <c r="R77" s="741">
        <v>0</v>
      </c>
      <c r="S77" s="741"/>
    </row>
    <row r="78" spans="1:19">
      <c r="A78" s="721"/>
      <c r="B78" s="751" t="s">
        <v>14</v>
      </c>
      <c r="C78" s="714" t="s">
        <v>51</v>
      </c>
      <c r="D78" s="714"/>
      <c r="E78" s="715"/>
      <c r="F78" s="715"/>
      <c r="G78" s="715"/>
      <c r="H78" s="715"/>
      <c r="I78" s="715"/>
      <c r="J78" s="715"/>
      <c r="K78" s="715"/>
      <c r="L78" s="715"/>
      <c r="M78" s="715"/>
      <c r="N78" s="715"/>
      <c r="O78" s="715"/>
      <c r="P78" s="733"/>
      <c r="Q78" s="741">
        <v>0</v>
      </c>
      <c r="R78" s="741">
        <v>0</v>
      </c>
      <c r="S78" s="741"/>
    </row>
    <row r="79" spans="1:19">
      <c r="A79" s="721"/>
      <c r="B79" s="739" t="s">
        <v>14</v>
      </c>
      <c r="C79" s="786" t="s">
        <v>77</v>
      </c>
      <c r="D79" s="786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/>
      <c r="P79" s="733"/>
      <c r="Q79" s="741">
        <v>0</v>
      </c>
      <c r="R79" s="741">
        <v>0</v>
      </c>
      <c r="S79" s="741"/>
    </row>
    <row r="80" spans="1:19">
      <c r="A80" s="721"/>
      <c r="B80" s="739" t="s">
        <v>14</v>
      </c>
      <c r="C80" s="786" t="s">
        <v>178</v>
      </c>
      <c r="D80" s="786"/>
      <c r="E80" s="715"/>
      <c r="F80" s="715"/>
      <c r="G80" s="715"/>
      <c r="H80" s="715"/>
      <c r="I80" s="715"/>
      <c r="J80" s="715"/>
      <c r="K80" s="715"/>
      <c r="L80" s="715"/>
      <c r="M80" s="715"/>
      <c r="N80" s="715"/>
      <c r="O80" s="715"/>
      <c r="P80" s="733"/>
      <c r="Q80" s="741">
        <v>0</v>
      </c>
      <c r="R80" s="741">
        <v>0</v>
      </c>
      <c r="S80" s="741"/>
    </row>
    <row r="81" spans="1:19">
      <c r="A81" s="718" t="s">
        <v>598</v>
      </c>
      <c r="B81" s="718" t="s">
        <v>226</v>
      </c>
      <c r="C81" s="714"/>
      <c r="D81" s="714"/>
      <c r="E81" s="715"/>
      <c r="F81" s="715"/>
      <c r="G81" s="715"/>
      <c r="H81" s="715"/>
      <c r="I81" s="715"/>
      <c r="J81" s="715"/>
      <c r="K81" s="715"/>
      <c r="L81" s="715"/>
      <c r="M81" s="715"/>
      <c r="N81" s="715"/>
      <c r="O81" s="715"/>
      <c r="P81" s="733"/>
      <c r="Q81" s="745">
        <f>Q82</f>
        <v>0</v>
      </c>
      <c r="R81" s="745">
        <f>R82</f>
        <v>0</v>
      </c>
      <c r="S81" s="745"/>
    </row>
    <row r="82" spans="1:19">
      <c r="A82" s="721"/>
      <c r="B82" s="785" t="s">
        <v>29</v>
      </c>
      <c r="C82" s="786"/>
      <c r="D82" s="786"/>
      <c r="E82" s="715"/>
      <c r="F82" s="715"/>
      <c r="G82" s="715"/>
      <c r="H82" s="715"/>
      <c r="I82" s="715"/>
      <c r="J82" s="715"/>
      <c r="K82" s="715"/>
      <c r="L82" s="715"/>
      <c r="M82" s="715"/>
      <c r="N82" s="715"/>
      <c r="O82" s="715"/>
      <c r="P82" s="733"/>
      <c r="Q82" s="741">
        <v>0</v>
      </c>
      <c r="R82" s="741">
        <v>0</v>
      </c>
      <c r="S82" s="741"/>
    </row>
    <row r="83" spans="1:19">
      <c r="A83" s="721"/>
      <c r="B83" s="751" t="s">
        <v>14</v>
      </c>
      <c r="C83" s="714" t="s">
        <v>204</v>
      </c>
      <c r="D83" s="714"/>
      <c r="E83" s="715"/>
      <c r="F83" s="715"/>
      <c r="G83" s="715"/>
      <c r="H83" s="715"/>
      <c r="I83" s="715"/>
      <c r="J83" s="715"/>
      <c r="K83" s="715"/>
      <c r="L83" s="715"/>
      <c r="M83" s="715"/>
      <c r="N83" s="715"/>
      <c r="O83" s="715"/>
      <c r="P83" s="733"/>
      <c r="Q83" s="741">
        <v>0</v>
      </c>
      <c r="R83" s="741">
        <v>0</v>
      </c>
      <c r="S83" s="741"/>
    </row>
    <row r="84" spans="1:19">
      <c r="A84" s="721"/>
      <c r="B84" s="751" t="s">
        <v>14</v>
      </c>
      <c r="C84" s="714" t="s">
        <v>51</v>
      </c>
      <c r="D84" s="714"/>
      <c r="E84" s="715"/>
      <c r="F84" s="715"/>
      <c r="G84" s="715"/>
      <c r="H84" s="715"/>
      <c r="I84" s="715"/>
      <c r="J84" s="715"/>
      <c r="K84" s="715"/>
      <c r="L84" s="715"/>
      <c r="M84" s="715"/>
      <c r="N84" s="715"/>
      <c r="O84" s="715"/>
      <c r="P84" s="733"/>
      <c r="Q84" s="741">
        <v>0</v>
      </c>
      <c r="R84" s="741">
        <v>0</v>
      </c>
      <c r="S84" s="741"/>
    </row>
    <row r="85" spans="1:19">
      <c r="A85" s="721"/>
      <c r="B85" s="739" t="s">
        <v>14</v>
      </c>
      <c r="C85" s="786" t="s">
        <v>77</v>
      </c>
      <c r="D85" s="786"/>
      <c r="E85" s="715"/>
      <c r="F85" s="715"/>
      <c r="G85" s="715"/>
      <c r="H85" s="715"/>
      <c r="I85" s="715"/>
      <c r="J85" s="715"/>
      <c r="K85" s="715"/>
      <c r="L85" s="715"/>
      <c r="M85" s="715"/>
      <c r="N85" s="715"/>
      <c r="O85" s="715"/>
      <c r="P85" s="733"/>
      <c r="Q85" s="741">
        <v>0</v>
      </c>
      <c r="R85" s="741">
        <v>0</v>
      </c>
      <c r="S85" s="741"/>
    </row>
    <row r="86" spans="1:19">
      <c r="A86" s="721"/>
      <c r="B86" s="739" t="s">
        <v>14</v>
      </c>
      <c r="C86" s="786" t="s">
        <v>178</v>
      </c>
      <c r="D86" s="786"/>
      <c r="E86" s="715"/>
      <c r="F86" s="715"/>
      <c r="G86" s="715"/>
      <c r="H86" s="715"/>
      <c r="I86" s="715"/>
      <c r="J86" s="715"/>
      <c r="K86" s="715"/>
      <c r="L86" s="715"/>
      <c r="M86" s="715"/>
      <c r="N86" s="715"/>
      <c r="O86" s="715"/>
      <c r="P86" s="733"/>
      <c r="Q86" s="741">
        <v>0</v>
      </c>
      <c r="R86" s="741">
        <v>0</v>
      </c>
      <c r="S86" s="741"/>
    </row>
    <row r="87" spans="1:19">
      <c r="A87" s="721"/>
      <c r="B87" s="739"/>
      <c r="C87" s="714"/>
      <c r="D87" s="714"/>
      <c r="E87" s="715"/>
      <c r="F87" s="715"/>
      <c r="G87" s="715"/>
      <c r="H87" s="715"/>
      <c r="I87" s="715"/>
      <c r="J87" s="715"/>
      <c r="K87" s="715"/>
      <c r="L87" s="715"/>
      <c r="M87" s="715"/>
      <c r="N87" s="715"/>
      <c r="O87" s="715"/>
      <c r="P87" s="733"/>
      <c r="Q87" s="741"/>
      <c r="R87" s="741"/>
      <c r="S87" s="741"/>
    </row>
    <row r="88" spans="1:19">
      <c r="A88" s="718" t="s">
        <v>599</v>
      </c>
      <c r="B88" s="718" t="s">
        <v>501</v>
      </c>
      <c r="C88" s="714"/>
      <c r="D88" s="714"/>
      <c r="E88" s="715"/>
      <c r="F88" s="715"/>
      <c r="G88" s="715"/>
      <c r="H88" s="715"/>
      <c r="I88" s="715"/>
      <c r="J88" s="715"/>
      <c r="K88" s="715"/>
      <c r="L88" s="715"/>
      <c r="M88" s="715"/>
      <c r="N88" s="715"/>
      <c r="O88" s="715"/>
      <c r="P88" s="733"/>
      <c r="Q88" s="745">
        <f>Q89</f>
        <v>0</v>
      </c>
      <c r="R88" s="745">
        <f>R89</f>
        <v>0</v>
      </c>
      <c r="S88" s="745"/>
    </row>
    <row r="89" spans="1:19">
      <c r="A89" s="721"/>
      <c r="B89" s="785" t="s">
        <v>29</v>
      </c>
      <c r="C89" s="786"/>
      <c r="D89" s="786"/>
      <c r="E89" s="715"/>
      <c r="F89" s="715"/>
      <c r="G89" s="715"/>
      <c r="H89" s="715"/>
      <c r="I89" s="715"/>
      <c r="J89" s="715"/>
      <c r="K89" s="715"/>
      <c r="L89" s="715"/>
      <c r="M89" s="715"/>
      <c r="N89" s="715"/>
      <c r="O89" s="715"/>
      <c r="P89" s="733"/>
      <c r="Q89" s="741">
        <v>0</v>
      </c>
      <c r="R89" s="741">
        <v>0</v>
      </c>
      <c r="S89" s="741"/>
    </row>
    <row r="90" spans="1:19">
      <c r="A90" s="721"/>
      <c r="B90" s="751" t="s">
        <v>14</v>
      </c>
      <c r="C90" s="714" t="s">
        <v>204</v>
      </c>
      <c r="D90" s="714"/>
      <c r="E90" s="715"/>
      <c r="F90" s="715"/>
      <c r="G90" s="715"/>
      <c r="H90" s="715"/>
      <c r="I90" s="715"/>
      <c r="J90" s="715"/>
      <c r="K90" s="715"/>
      <c r="L90" s="715"/>
      <c r="M90" s="715"/>
      <c r="N90" s="715"/>
      <c r="O90" s="715"/>
      <c r="P90" s="733"/>
      <c r="Q90" s="741">
        <v>0</v>
      </c>
      <c r="R90" s="741">
        <v>0</v>
      </c>
      <c r="S90" s="741"/>
    </row>
    <row r="91" spans="1:19">
      <c r="A91" s="721"/>
      <c r="B91" s="751" t="s">
        <v>14</v>
      </c>
      <c r="C91" s="714" t="s">
        <v>51</v>
      </c>
      <c r="D91" s="714"/>
      <c r="E91" s="715"/>
      <c r="F91" s="715"/>
      <c r="G91" s="715"/>
      <c r="H91" s="715"/>
      <c r="I91" s="715"/>
      <c r="J91" s="715"/>
      <c r="K91" s="715"/>
      <c r="L91" s="715"/>
      <c r="M91" s="715"/>
      <c r="N91" s="715"/>
      <c r="O91" s="715"/>
      <c r="P91" s="733"/>
      <c r="Q91" s="741">
        <v>0</v>
      </c>
      <c r="R91" s="741">
        <v>0</v>
      </c>
      <c r="S91" s="741"/>
    </row>
    <row r="92" spans="1:19">
      <c r="A92" s="721"/>
      <c r="B92" s="739" t="s">
        <v>14</v>
      </c>
      <c r="C92" s="786" t="s">
        <v>77</v>
      </c>
      <c r="D92" s="786"/>
      <c r="E92" s="715"/>
      <c r="F92" s="715"/>
      <c r="G92" s="715"/>
      <c r="H92" s="715"/>
      <c r="I92" s="715"/>
      <c r="J92" s="715"/>
      <c r="K92" s="715"/>
      <c r="L92" s="715"/>
      <c r="M92" s="715"/>
      <c r="N92" s="715"/>
      <c r="O92" s="715"/>
      <c r="P92" s="733"/>
      <c r="Q92" s="741">
        <v>0</v>
      </c>
      <c r="R92" s="741">
        <v>0</v>
      </c>
      <c r="S92" s="741"/>
    </row>
    <row r="93" spans="1:19">
      <c r="A93" s="721"/>
      <c r="B93" s="739" t="s">
        <v>14</v>
      </c>
      <c r="C93" s="786" t="s">
        <v>178</v>
      </c>
      <c r="D93" s="786"/>
      <c r="E93" s="715"/>
      <c r="F93" s="715"/>
      <c r="G93" s="715"/>
      <c r="H93" s="715"/>
      <c r="I93" s="715"/>
      <c r="J93" s="715"/>
      <c r="K93" s="715"/>
      <c r="L93" s="715"/>
      <c r="M93" s="715"/>
      <c r="N93" s="715"/>
      <c r="O93" s="715"/>
      <c r="P93" s="733"/>
      <c r="Q93" s="741">
        <v>0</v>
      </c>
      <c r="R93" s="741">
        <v>0</v>
      </c>
      <c r="S93" s="741"/>
    </row>
    <row r="94" spans="1:19">
      <c r="A94" s="721"/>
      <c r="B94" s="739"/>
      <c r="C94" s="714"/>
      <c r="D94" s="714"/>
      <c r="E94" s="715"/>
      <c r="F94" s="715"/>
      <c r="G94" s="715"/>
      <c r="H94" s="715"/>
      <c r="I94" s="715"/>
      <c r="J94" s="715"/>
      <c r="K94" s="715"/>
      <c r="L94" s="715"/>
      <c r="M94" s="715"/>
      <c r="N94" s="715"/>
      <c r="O94" s="715"/>
      <c r="P94" s="733"/>
      <c r="Q94" s="741"/>
      <c r="R94" s="741"/>
      <c r="S94" s="741"/>
    </row>
    <row r="95" spans="1:19">
      <c r="A95" s="718">
        <v>2.2000000000000002</v>
      </c>
      <c r="B95" s="718" t="s">
        <v>155</v>
      </c>
      <c r="C95" s="736"/>
      <c r="D95" s="736"/>
      <c r="E95" s="736"/>
      <c r="F95" s="736"/>
      <c r="G95" s="736"/>
      <c r="H95" s="736"/>
      <c r="I95" s="736"/>
      <c r="J95" s="737"/>
      <c r="K95" s="737"/>
      <c r="L95" s="737"/>
      <c r="M95" s="737"/>
      <c r="N95" s="737"/>
      <c r="O95" s="737"/>
      <c r="P95" s="738"/>
      <c r="Q95" s="745">
        <f>SUM(Q96+Q126)+Q135</f>
        <v>377160600</v>
      </c>
      <c r="R95" s="745">
        <f>SUM(R96+R126)+R135</f>
        <v>377160600</v>
      </c>
      <c r="S95" s="745">
        <f>Q95-R95</f>
        <v>0</v>
      </c>
    </row>
    <row r="96" spans="1:19">
      <c r="A96" s="718" t="s">
        <v>600</v>
      </c>
      <c r="B96" s="748" t="s">
        <v>624</v>
      </c>
      <c r="C96" s="749"/>
      <c r="D96" s="749"/>
      <c r="E96" s="749"/>
      <c r="F96" s="749"/>
      <c r="G96" s="749"/>
      <c r="H96" s="749"/>
      <c r="I96" s="749"/>
      <c r="J96" s="715"/>
      <c r="K96" s="715"/>
      <c r="L96" s="715"/>
      <c r="M96" s="715"/>
      <c r="N96" s="715"/>
      <c r="O96" s="715"/>
      <c r="P96" s="733"/>
      <c r="Q96" s="745">
        <f>Q97+Q113</f>
        <v>377160600</v>
      </c>
      <c r="R96" s="745">
        <f>R97+R113</f>
        <v>377160600</v>
      </c>
      <c r="S96" s="745"/>
    </row>
    <row r="97" spans="1:19">
      <c r="A97" s="721"/>
      <c r="B97" s="785" t="s">
        <v>29</v>
      </c>
      <c r="C97" s="786"/>
      <c r="D97" s="786"/>
      <c r="E97" s="786"/>
      <c r="F97" s="786"/>
      <c r="G97" s="786"/>
      <c r="H97" s="786"/>
      <c r="I97" s="786"/>
      <c r="J97" s="714"/>
      <c r="K97" s="714"/>
      <c r="L97" s="714"/>
      <c r="M97" s="714"/>
      <c r="N97" s="714"/>
      <c r="O97" s="714"/>
      <c r="P97" s="740"/>
      <c r="Q97" s="745">
        <f>Q98+Q102+Q106</f>
        <v>377160600</v>
      </c>
      <c r="R97" s="745">
        <f>R98+R102+R106</f>
        <v>377160600</v>
      </c>
      <c r="S97" s="745"/>
    </row>
    <row r="98" spans="1:19">
      <c r="A98" s="721"/>
      <c r="B98" s="739" t="s">
        <v>14</v>
      </c>
      <c r="C98" s="749" t="s">
        <v>625</v>
      </c>
      <c r="D98" s="749"/>
      <c r="E98" s="714"/>
      <c r="F98" s="714"/>
      <c r="G98" s="714"/>
      <c r="H98" s="714"/>
      <c r="I98" s="714"/>
      <c r="J98" s="715"/>
      <c r="K98" s="715"/>
      <c r="L98" s="715"/>
      <c r="M98" s="715"/>
      <c r="N98" s="715"/>
      <c r="O98" s="715"/>
      <c r="P98" s="733"/>
      <c r="Q98" s="745">
        <f>SUM(Q99:Q100)</f>
        <v>0</v>
      </c>
      <c r="R98" s="745">
        <f>SUM(R99:R100)</f>
        <v>0</v>
      </c>
      <c r="S98" s="745"/>
    </row>
    <row r="99" spans="1:19">
      <c r="A99" s="721"/>
      <c r="B99" s="739"/>
      <c r="C99" s="713" t="s">
        <v>14</v>
      </c>
      <c r="D99" s="714" t="s">
        <v>203</v>
      </c>
      <c r="E99" s="714"/>
      <c r="F99" s="714"/>
      <c r="G99" s="714"/>
      <c r="H99" s="714"/>
      <c r="I99" s="714"/>
      <c r="J99" s="715"/>
      <c r="K99" s="715"/>
      <c r="L99" s="715"/>
      <c r="M99" s="715"/>
      <c r="N99" s="715"/>
      <c r="O99" s="715"/>
      <c r="P99" s="733"/>
      <c r="Q99" s="741">
        <v>0</v>
      </c>
      <c r="R99" s="741">
        <v>0</v>
      </c>
      <c r="S99" s="741"/>
    </row>
    <row r="100" spans="1:19">
      <c r="A100" s="721"/>
      <c r="B100" s="739"/>
      <c r="C100" s="713" t="s">
        <v>14</v>
      </c>
      <c r="D100" s="714" t="s">
        <v>58</v>
      </c>
      <c r="E100" s="714"/>
      <c r="F100" s="714"/>
      <c r="G100" s="714"/>
      <c r="H100" s="714"/>
      <c r="I100" s="714"/>
      <c r="J100" s="715"/>
      <c r="K100" s="715"/>
      <c r="L100" s="715"/>
      <c r="M100" s="715"/>
      <c r="N100" s="715"/>
      <c r="O100" s="715"/>
      <c r="P100" s="733"/>
      <c r="Q100" s="741">
        <v>0</v>
      </c>
      <c r="R100" s="741">
        <v>0</v>
      </c>
      <c r="S100" s="741"/>
    </row>
    <row r="101" spans="1:19">
      <c r="A101" s="721"/>
      <c r="B101" s="739"/>
      <c r="C101" s="713"/>
      <c r="D101" s="714"/>
      <c r="E101" s="714"/>
      <c r="F101" s="714"/>
      <c r="G101" s="714"/>
      <c r="H101" s="714"/>
      <c r="I101" s="714"/>
      <c r="J101" s="715"/>
      <c r="K101" s="715"/>
      <c r="L101" s="715"/>
      <c r="M101" s="715"/>
      <c r="N101" s="715"/>
      <c r="O101" s="715"/>
      <c r="P101" s="733"/>
      <c r="Q101" s="741"/>
      <c r="R101" s="741"/>
      <c r="S101" s="741"/>
    </row>
    <row r="102" spans="1:19">
      <c r="A102" s="721"/>
      <c r="B102" s="739" t="s">
        <v>14</v>
      </c>
      <c r="C102" s="713" t="str">
        <f>'[2]RAB 2.2.3.'!F21</f>
        <v>- Pekerja</v>
      </c>
      <c r="D102" s="714"/>
      <c r="E102" s="714"/>
      <c r="F102" s="714"/>
      <c r="G102" s="714"/>
      <c r="H102" s="714"/>
      <c r="I102" s="714"/>
      <c r="J102" s="715"/>
      <c r="K102" s="715"/>
      <c r="L102" s="715"/>
      <c r="M102" s="715"/>
      <c r="N102" s="715"/>
      <c r="O102" s="715"/>
      <c r="P102" s="733"/>
      <c r="Q102" s="745">
        <f>SUM(Q103:Q104)</f>
        <v>0</v>
      </c>
      <c r="R102" s="745">
        <f>SUM(R103:R104)</f>
        <v>0</v>
      </c>
      <c r="S102" s="745"/>
    </row>
    <row r="103" spans="1:19">
      <c r="A103" s="721"/>
      <c r="B103" s="739"/>
      <c r="C103" s="713" t="str">
        <f>'[2]RAB 2.2.3.'!F22</f>
        <v>- Tukang</v>
      </c>
      <c r="D103" s="714"/>
      <c r="E103" s="714"/>
      <c r="F103" s="714"/>
      <c r="G103" s="714"/>
      <c r="H103" s="714"/>
      <c r="I103" s="714"/>
      <c r="J103" s="715"/>
      <c r="K103" s="715"/>
      <c r="L103" s="715"/>
      <c r="M103" s="715"/>
      <c r="N103" s="715"/>
      <c r="O103" s="715"/>
      <c r="P103" s="733"/>
      <c r="Q103" s="741">
        <v>0</v>
      </c>
      <c r="R103" s="741">
        <v>0</v>
      </c>
      <c r="S103" s="741"/>
    </row>
    <row r="104" spans="1:19">
      <c r="A104" s="721"/>
      <c r="B104" s="739"/>
      <c r="C104" s="713">
        <f>'[2]RAB 2.2.3.'!F23</f>
        <v>0</v>
      </c>
      <c r="D104" s="714"/>
      <c r="E104" s="714"/>
      <c r="F104" s="714"/>
      <c r="G104" s="714"/>
      <c r="H104" s="714"/>
      <c r="I104" s="714"/>
      <c r="J104" s="715"/>
      <c r="K104" s="715"/>
      <c r="L104" s="715"/>
      <c r="M104" s="715"/>
      <c r="N104" s="715"/>
      <c r="O104" s="715"/>
      <c r="P104" s="733"/>
      <c r="Q104" s="741">
        <v>0</v>
      </c>
      <c r="R104" s="741">
        <v>0</v>
      </c>
      <c r="S104" s="741"/>
    </row>
    <row r="105" spans="1:19">
      <c r="A105" s="721"/>
      <c r="B105" s="739"/>
      <c r="C105" s="713"/>
      <c r="D105" s="714"/>
      <c r="E105" s="714"/>
      <c r="F105" s="714"/>
      <c r="G105" s="714"/>
      <c r="H105" s="714"/>
      <c r="I105" s="714"/>
      <c r="J105" s="715"/>
      <c r="K105" s="715"/>
      <c r="L105" s="715"/>
      <c r="M105" s="715"/>
      <c r="N105" s="715"/>
      <c r="O105" s="715"/>
      <c r="P105" s="733"/>
      <c r="Q105" s="741"/>
      <c r="R105" s="741"/>
      <c r="S105" s="741"/>
    </row>
    <row r="106" spans="1:19">
      <c r="A106" s="721"/>
      <c r="B106" s="739" t="s">
        <v>14</v>
      </c>
      <c r="C106" s="714" t="s">
        <v>626</v>
      </c>
      <c r="D106" s="714"/>
      <c r="E106" s="714"/>
      <c r="F106" s="714"/>
      <c r="G106" s="714"/>
      <c r="H106" s="714"/>
      <c r="I106" s="714"/>
      <c r="J106" s="715"/>
      <c r="K106" s="715"/>
      <c r="L106" s="715"/>
      <c r="M106" s="715"/>
      <c r="N106" s="715"/>
      <c r="O106" s="715"/>
      <c r="P106" s="733"/>
      <c r="Q106" s="745">
        <f>Q107+Q109+Q111</f>
        <v>377160600</v>
      </c>
      <c r="R106" s="745">
        <f>R107+R109+R111</f>
        <v>377160600</v>
      </c>
      <c r="S106" s="745">
        <f>SUM(S107:S112)</f>
        <v>0</v>
      </c>
    </row>
    <row r="107" spans="1:19">
      <c r="A107" s="721"/>
      <c r="B107" s="739"/>
      <c r="C107" s="714">
        <f>'[2]RAB 2.2.3.'!F27</f>
        <v>0</v>
      </c>
      <c r="D107" s="243"/>
      <c r="E107" s="714"/>
      <c r="F107" s="714"/>
      <c r="G107" s="714"/>
      <c r="H107" s="714"/>
      <c r="I107" s="714"/>
      <c r="J107" s="715"/>
      <c r="K107" s="715"/>
      <c r="L107" s="715"/>
      <c r="M107" s="715"/>
      <c r="N107" s="715"/>
      <c r="O107" s="715"/>
      <c r="P107" s="733"/>
      <c r="Q107" s="741">
        <f>205701120-5625960</f>
        <v>200075160</v>
      </c>
      <c r="R107" s="741">
        <f>205701120-5625960</f>
        <v>200075160</v>
      </c>
      <c r="S107" s="741">
        <f>Q107-R107</f>
        <v>0</v>
      </c>
    </row>
    <row r="108" spans="1:19">
      <c r="A108" s="721"/>
      <c r="B108" s="739"/>
      <c r="C108" s="714" t="str">
        <f>'[2]RAB 2.2.3.'!F28</f>
        <v>Sewa Alat Berat (Excapator)</v>
      </c>
      <c r="D108" s="746"/>
      <c r="E108" s="714"/>
      <c r="F108" s="714"/>
      <c r="G108" s="714"/>
      <c r="H108" s="714"/>
      <c r="I108" s="714"/>
      <c r="J108" s="715"/>
      <c r="K108" s="715"/>
      <c r="L108" s="715"/>
      <c r="M108" s="715"/>
      <c r="N108" s="715"/>
      <c r="O108" s="715"/>
      <c r="P108" s="733"/>
      <c r="Q108" s="741">
        <v>205701120</v>
      </c>
      <c r="R108" s="741">
        <v>205701120</v>
      </c>
      <c r="S108" s="741">
        <f t="shared" ref="S108:S112" si="0">Q108-R108</f>
        <v>0</v>
      </c>
    </row>
    <row r="109" spans="1:19">
      <c r="A109" s="721"/>
      <c r="B109" s="739"/>
      <c r="C109" s="714" t="str">
        <f>'[2]RAB 2.2.3.'!F30</f>
        <v>Sewa Alat Perintisan Jalan Dusun Gamaccaya (1.750 x 4 M)</v>
      </c>
      <c r="D109" s="746"/>
      <c r="E109" s="714"/>
      <c r="F109" s="714"/>
      <c r="G109" s="714"/>
      <c r="H109" s="714"/>
      <c r="I109" s="714"/>
      <c r="J109" s="715"/>
      <c r="K109" s="715"/>
      <c r="L109" s="715"/>
      <c r="M109" s="715"/>
      <c r="N109" s="715"/>
      <c r="O109" s="715"/>
      <c r="P109" s="733"/>
      <c r="Q109" s="741">
        <f>Q110</f>
        <v>44375040</v>
      </c>
      <c r="R109" s="741">
        <f>R110</f>
        <v>44375040</v>
      </c>
      <c r="S109" s="741">
        <f t="shared" si="0"/>
        <v>0</v>
      </c>
    </row>
    <row r="110" spans="1:19">
      <c r="A110" s="721"/>
      <c r="B110" s="739"/>
      <c r="C110" s="714" t="str">
        <f>'[2]RAB 2.2.3.'!F31</f>
        <v>- Excavator</v>
      </c>
      <c r="D110" s="746"/>
      <c r="E110" s="714"/>
      <c r="F110" s="714"/>
      <c r="G110" s="714"/>
      <c r="H110" s="714"/>
      <c r="I110" s="714"/>
      <c r="J110" s="715"/>
      <c r="K110" s="715"/>
      <c r="L110" s="715"/>
      <c r="M110" s="715"/>
      <c r="N110" s="715"/>
      <c r="O110" s="715"/>
      <c r="P110" s="733"/>
      <c r="Q110" s="741">
        <v>44375040</v>
      </c>
      <c r="R110" s="741">
        <v>44375040</v>
      </c>
      <c r="S110" s="741">
        <f t="shared" si="0"/>
        <v>0</v>
      </c>
    </row>
    <row r="111" spans="1:19">
      <c r="A111" s="721"/>
      <c r="B111" s="739"/>
      <c r="C111" s="714" t="str">
        <f>'[2]RAB 2.2.3.'!F33</f>
        <v>Sewa Alat Perintisan Jalan Dusun Kahayya (1.070 x 4 M)</v>
      </c>
      <c r="D111" s="746"/>
      <c r="E111" s="714"/>
      <c r="F111" s="714"/>
      <c r="G111" s="714"/>
      <c r="H111" s="714"/>
      <c r="I111" s="714"/>
      <c r="J111" s="715"/>
      <c r="K111" s="715"/>
      <c r="L111" s="715"/>
      <c r="M111" s="715"/>
      <c r="N111" s="715"/>
      <c r="O111" s="715"/>
      <c r="P111" s="733"/>
      <c r="Q111" s="741">
        <f>Q112</f>
        <v>132710400</v>
      </c>
      <c r="R111" s="741">
        <f>R112</f>
        <v>132710400</v>
      </c>
      <c r="S111" s="741">
        <f t="shared" si="0"/>
        <v>0</v>
      </c>
    </row>
    <row r="112" spans="1:19">
      <c r="A112" s="721"/>
      <c r="B112" s="739"/>
      <c r="C112" s="714" t="str">
        <f>'[2]RAB 2.2.3.'!F34</f>
        <v>- Excavator</v>
      </c>
      <c r="D112" s="746"/>
      <c r="E112" s="714"/>
      <c r="F112" s="714"/>
      <c r="G112" s="714"/>
      <c r="H112" s="714"/>
      <c r="I112" s="714"/>
      <c r="J112" s="715"/>
      <c r="K112" s="715"/>
      <c r="L112" s="715"/>
      <c r="M112" s="715"/>
      <c r="N112" s="715"/>
      <c r="O112" s="715"/>
      <c r="P112" s="733"/>
      <c r="Q112" s="741">
        <v>132710400</v>
      </c>
      <c r="R112" s="741">
        <v>132710400</v>
      </c>
      <c r="S112" s="741">
        <f t="shared" si="0"/>
        <v>0</v>
      </c>
    </row>
    <row r="113" spans="1:19">
      <c r="A113" s="721"/>
      <c r="B113" s="751" t="s">
        <v>627</v>
      </c>
      <c r="C113" s="749"/>
      <c r="D113" s="714"/>
      <c r="E113" s="714"/>
      <c r="F113" s="714"/>
      <c r="G113" s="714"/>
      <c r="H113" s="714"/>
      <c r="I113" s="714"/>
      <c r="J113" s="715"/>
      <c r="K113" s="715"/>
      <c r="L113" s="715"/>
      <c r="M113" s="715"/>
      <c r="N113" s="715"/>
      <c r="O113" s="715"/>
      <c r="P113" s="733"/>
      <c r="Q113" s="745">
        <f>SUM(Q114:Q124)</f>
        <v>0</v>
      </c>
      <c r="R113" s="745">
        <f>SUM(R114:R124)</f>
        <v>0</v>
      </c>
      <c r="S113" s="745">
        <f>Q113-R113</f>
        <v>0</v>
      </c>
    </row>
    <row r="114" spans="1:19">
      <c r="A114" s="721"/>
      <c r="B114" s="739"/>
      <c r="C114" s="714" t="str">
        <f>'[2]RAB 2.2.3.'!F37</f>
        <v>- Excavator</v>
      </c>
      <c r="D114" s="714"/>
      <c r="E114" s="714"/>
      <c r="F114" s="714"/>
      <c r="G114" s="714"/>
      <c r="H114" s="714"/>
      <c r="I114" s="714"/>
      <c r="J114" s="715"/>
      <c r="K114" s="715"/>
      <c r="L114" s="715"/>
      <c r="M114" s="715"/>
      <c r="N114" s="715"/>
      <c r="O114" s="715"/>
      <c r="P114" s="733"/>
      <c r="Q114" s="741">
        <v>0</v>
      </c>
      <c r="R114" s="741">
        <v>0</v>
      </c>
      <c r="S114" s="741">
        <f>Q114-R114</f>
        <v>0</v>
      </c>
    </row>
    <row r="115" spans="1:19">
      <c r="A115" s="721"/>
      <c r="B115" s="739"/>
      <c r="C115" s="714">
        <f>'[2]RAB 2.2.3.'!F38</f>
        <v>0</v>
      </c>
      <c r="D115" s="714"/>
      <c r="E115" s="714"/>
      <c r="F115" s="714"/>
      <c r="G115" s="714"/>
      <c r="H115" s="714"/>
      <c r="I115" s="714"/>
      <c r="J115" s="715"/>
      <c r="K115" s="715"/>
      <c r="L115" s="715"/>
      <c r="M115" s="715"/>
      <c r="N115" s="715"/>
      <c r="O115" s="715"/>
      <c r="P115" s="733"/>
      <c r="Q115" s="741">
        <v>0</v>
      </c>
      <c r="R115" s="741">
        <v>0</v>
      </c>
      <c r="S115" s="741">
        <f t="shared" ref="S115:S181" si="1">Q115-R115</f>
        <v>0</v>
      </c>
    </row>
    <row r="116" spans="1:19">
      <c r="A116" s="721"/>
      <c r="B116" s="739"/>
      <c r="C116" s="714">
        <f>'[2]RAB 2.2.3.'!F39</f>
        <v>0</v>
      </c>
      <c r="D116" s="714"/>
      <c r="E116" s="714"/>
      <c r="F116" s="714"/>
      <c r="G116" s="714"/>
      <c r="H116" s="714"/>
      <c r="I116" s="714"/>
      <c r="J116" s="715"/>
      <c r="K116" s="715"/>
      <c r="L116" s="715"/>
      <c r="M116" s="715"/>
      <c r="N116" s="715"/>
      <c r="O116" s="715"/>
      <c r="P116" s="733"/>
      <c r="Q116" s="741">
        <v>0</v>
      </c>
      <c r="R116" s="741">
        <v>0</v>
      </c>
      <c r="S116" s="741">
        <f t="shared" si="1"/>
        <v>0</v>
      </c>
    </row>
    <row r="117" spans="1:19">
      <c r="A117" s="721"/>
      <c r="B117" s="739"/>
      <c r="C117" s="714" t="str">
        <f>'[2]RAB 2.2.3.'!F40</f>
        <v>Pasir Pasangan</v>
      </c>
      <c r="D117" s="714"/>
      <c r="E117" s="714"/>
      <c r="F117" s="714"/>
      <c r="G117" s="714"/>
      <c r="H117" s="714"/>
      <c r="I117" s="714"/>
      <c r="J117" s="715"/>
      <c r="K117" s="715"/>
      <c r="L117" s="715"/>
      <c r="M117" s="715"/>
      <c r="N117" s="715"/>
      <c r="O117" s="715"/>
      <c r="P117" s="733"/>
      <c r="Q117" s="741">
        <v>0</v>
      </c>
      <c r="R117" s="741">
        <v>0</v>
      </c>
      <c r="S117" s="741">
        <f t="shared" si="1"/>
        <v>0</v>
      </c>
    </row>
    <row r="118" spans="1:19">
      <c r="A118" s="721"/>
      <c r="B118" s="739"/>
      <c r="C118" s="714" t="str">
        <f>'[2]RAB 2.2.3.'!F41</f>
        <v>Semen Portland</v>
      </c>
      <c r="D118" s="714"/>
      <c r="E118" s="714"/>
      <c r="F118" s="714"/>
      <c r="G118" s="714"/>
      <c r="H118" s="714"/>
      <c r="I118" s="714"/>
      <c r="J118" s="715"/>
      <c r="K118" s="715"/>
      <c r="L118" s="715"/>
      <c r="M118" s="715"/>
      <c r="N118" s="715"/>
      <c r="O118" s="715"/>
      <c r="P118" s="733"/>
      <c r="Q118" s="741">
        <v>0</v>
      </c>
      <c r="R118" s="741">
        <v>0</v>
      </c>
      <c r="S118" s="741">
        <f t="shared" si="1"/>
        <v>0</v>
      </c>
    </row>
    <row r="119" spans="1:19">
      <c r="A119" s="721"/>
      <c r="B119" s="739"/>
      <c r="C119" s="714" t="str">
        <f>'[2]RAB 2.2.3.'!F42</f>
        <v>Kerikil tersaring</v>
      </c>
      <c r="D119" s="714"/>
      <c r="E119" s="714"/>
      <c r="F119" s="714"/>
      <c r="G119" s="714"/>
      <c r="H119" s="714"/>
      <c r="I119" s="714"/>
      <c r="J119" s="715"/>
      <c r="K119" s="715"/>
      <c r="L119" s="715"/>
      <c r="M119" s="715"/>
      <c r="N119" s="715"/>
      <c r="O119" s="715"/>
      <c r="P119" s="733"/>
      <c r="Q119" s="741">
        <v>0</v>
      </c>
      <c r="R119" s="741">
        <v>0</v>
      </c>
      <c r="S119" s="741">
        <f t="shared" si="1"/>
        <v>0</v>
      </c>
    </row>
    <row r="120" spans="1:19">
      <c r="A120" s="721"/>
      <c r="B120" s="739"/>
      <c r="C120" s="714" t="str">
        <f>'[2]RAB 2.2.3.'!F43</f>
        <v>Kayu/Papan</v>
      </c>
      <c r="D120" s="714"/>
      <c r="E120" s="714"/>
      <c r="F120" s="714"/>
      <c r="G120" s="714"/>
      <c r="H120" s="714"/>
      <c r="I120" s="714"/>
      <c r="J120" s="715"/>
      <c r="K120" s="715"/>
      <c r="L120" s="715"/>
      <c r="M120" s="715"/>
      <c r="N120" s="715"/>
      <c r="O120" s="715"/>
      <c r="P120" s="733"/>
      <c r="Q120" s="741">
        <v>0</v>
      </c>
      <c r="R120" s="741">
        <v>0</v>
      </c>
      <c r="S120" s="741">
        <f t="shared" si="1"/>
        <v>0</v>
      </c>
    </row>
    <row r="121" spans="1:19">
      <c r="A121" s="721"/>
      <c r="B121" s="739"/>
      <c r="C121" s="714" t="str">
        <f>'[2]RAB 2.2.3.'!F44</f>
        <v>Kebutuhan Air</v>
      </c>
      <c r="D121" s="714"/>
      <c r="E121" s="714"/>
      <c r="F121" s="714"/>
      <c r="G121" s="714"/>
      <c r="H121" s="714"/>
      <c r="I121" s="714"/>
      <c r="J121" s="715"/>
      <c r="K121" s="715"/>
      <c r="L121" s="715"/>
      <c r="M121" s="715"/>
      <c r="N121" s="715"/>
      <c r="O121" s="715"/>
      <c r="P121" s="733"/>
      <c r="Q121" s="741">
        <v>0</v>
      </c>
      <c r="R121" s="741">
        <v>0</v>
      </c>
      <c r="S121" s="741">
        <f t="shared" si="1"/>
        <v>0</v>
      </c>
    </row>
    <row r="122" spans="1:19">
      <c r="A122" s="721"/>
      <c r="B122" s="739"/>
      <c r="C122" s="714" t="str">
        <f>'[2]RAB 2.2.3.'!F45</f>
        <v>Gerobak</v>
      </c>
      <c r="D122" s="714"/>
      <c r="E122" s="714"/>
      <c r="F122" s="714"/>
      <c r="G122" s="714"/>
      <c r="H122" s="714"/>
      <c r="I122" s="714"/>
      <c r="J122" s="715"/>
      <c r="K122" s="715"/>
      <c r="L122" s="715"/>
      <c r="M122" s="715"/>
      <c r="N122" s="715"/>
      <c r="O122" s="715"/>
      <c r="P122" s="733"/>
      <c r="Q122" s="741">
        <v>0</v>
      </c>
      <c r="R122" s="741">
        <v>0</v>
      </c>
      <c r="S122" s="741">
        <f t="shared" si="1"/>
        <v>0</v>
      </c>
    </row>
    <row r="123" spans="1:19">
      <c r="A123" s="721"/>
      <c r="B123" s="739"/>
      <c r="C123" s="714" t="str">
        <f>'[2]RAB 2.2.3.'!F46</f>
        <v>Skop</v>
      </c>
      <c r="D123" s="714"/>
      <c r="E123" s="714"/>
      <c r="F123" s="714"/>
      <c r="G123" s="714"/>
      <c r="H123" s="714"/>
      <c r="I123" s="714"/>
      <c r="J123" s="715"/>
      <c r="K123" s="715"/>
      <c r="L123" s="715"/>
      <c r="M123" s="715"/>
      <c r="N123" s="715"/>
      <c r="O123" s="715"/>
      <c r="P123" s="733"/>
      <c r="Q123" s="741">
        <v>0</v>
      </c>
      <c r="R123" s="741">
        <v>0</v>
      </c>
      <c r="S123" s="741">
        <f t="shared" si="1"/>
        <v>0</v>
      </c>
    </row>
    <row r="124" spans="1:19">
      <c r="A124" s="721"/>
      <c r="B124" s="739"/>
      <c r="C124" s="714" t="str">
        <f>'[2]RAB 2.2.3.'!F47</f>
        <v>Ember</v>
      </c>
      <c r="D124" s="714"/>
      <c r="E124" s="714"/>
      <c r="F124" s="714"/>
      <c r="G124" s="714"/>
      <c r="H124" s="714"/>
      <c r="I124" s="714"/>
      <c r="J124" s="715"/>
      <c r="K124" s="715"/>
      <c r="L124" s="715"/>
      <c r="M124" s="715"/>
      <c r="N124" s="715"/>
      <c r="O124" s="715"/>
      <c r="P124" s="733"/>
      <c r="Q124" s="741">
        <v>0</v>
      </c>
      <c r="R124" s="741">
        <v>0</v>
      </c>
      <c r="S124" s="741">
        <f t="shared" si="1"/>
        <v>0</v>
      </c>
    </row>
    <row r="125" spans="1:19">
      <c r="A125" s="721"/>
      <c r="B125" s="739"/>
      <c r="C125" s="714"/>
      <c r="D125" s="714"/>
      <c r="E125" s="714"/>
      <c r="F125" s="714"/>
      <c r="G125" s="714"/>
      <c r="H125" s="714"/>
      <c r="I125" s="714"/>
      <c r="J125" s="715"/>
      <c r="K125" s="715"/>
      <c r="L125" s="715"/>
      <c r="M125" s="715"/>
      <c r="N125" s="715"/>
      <c r="O125" s="715"/>
      <c r="P125" s="733"/>
      <c r="Q125" s="741"/>
      <c r="R125" s="741"/>
      <c r="S125" s="741"/>
    </row>
    <row r="126" spans="1:19">
      <c r="A126" s="718" t="s">
        <v>601</v>
      </c>
      <c r="B126" s="748" t="s">
        <v>628</v>
      </c>
      <c r="C126" s="749"/>
      <c r="D126" s="749"/>
      <c r="E126" s="749"/>
      <c r="F126" s="749"/>
      <c r="G126" s="749"/>
      <c r="H126" s="749"/>
      <c r="I126" s="749"/>
      <c r="J126" s="715"/>
      <c r="K126" s="715"/>
      <c r="L126" s="715"/>
      <c r="M126" s="715"/>
      <c r="N126" s="715"/>
      <c r="O126" s="715"/>
      <c r="P126" s="733"/>
      <c r="Q126" s="745">
        <f>SUM(Q127+Q131)</f>
        <v>0</v>
      </c>
      <c r="R126" s="745">
        <f>SUM(R127+R131)</f>
        <v>0</v>
      </c>
      <c r="S126" s="745">
        <f t="shared" si="1"/>
        <v>0</v>
      </c>
    </row>
    <row r="127" spans="1:19">
      <c r="A127" s="721"/>
      <c r="B127" s="785" t="s">
        <v>29</v>
      </c>
      <c r="C127" s="786"/>
      <c r="D127" s="786"/>
      <c r="E127" s="786"/>
      <c r="F127" s="786"/>
      <c r="G127" s="786"/>
      <c r="H127" s="786"/>
      <c r="I127" s="786"/>
      <c r="J127" s="714"/>
      <c r="K127" s="714"/>
      <c r="L127" s="714"/>
      <c r="M127" s="714"/>
      <c r="N127" s="714"/>
      <c r="O127" s="714"/>
      <c r="P127" s="740"/>
      <c r="Q127" s="745">
        <f>SUM(Q128:Q128)</f>
        <v>0</v>
      </c>
      <c r="R127" s="745">
        <f>SUM(R128:R128)</f>
        <v>0</v>
      </c>
      <c r="S127" s="745">
        <f t="shared" si="1"/>
        <v>0</v>
      </c>
    </row>
    <row r="128" spans="1:19">
      <c r="A128" s="721"/>
      <c r="B128" s="739" t="s">
        <v>14</v>
      </c>
      <c r="C128" s="786" t="s">
        <v>57</v>
      </c>
      <c r="D128" s="786"/>
      <c r="E128" s="786"/>
      <c r="F128" s="786"/>
      <c r="G128" s="786"/>
      <c r="H128" s="786"/>
      <c r="I128" s="786"/>
      <c r="J128" s="715"/>
      <c r="K128" s="715"/>
      <c r="L128" s="715"/>
      <c r="M128" s="715"/>
      <c r="N128" s="715"/>
      <c r="O128" s="715"/>
      <c r="P128" s="733"/>
      <c r="Q128" s="745">
        <f>SUM(Q129:Q130)</f>
        <v>0</v>
      </c>
      <c r="R128" s="745">
        <f>SUM(R129:R130)</f>
        <v>0</v>
      </c>
      <c r="S128" s="741">
        <f t="shared" si="1"/>
        <v>0</v>
      </c>
    </row>
    <row r="129" spans="1:19">
      <c r="A129" s="721"/>
      <c r="B129" s="739"/>
      <c r="C129" s="714">
        <f>'[2]RAB 2.2.5'!F14</f>
        <v>2</v>
      </c>
      <c r="D129" s="714"/>
      <c r="E129" s="714"/>
      <c r="F129" s="714"/>
      <c r="G129" s="714"/>
      <c r="H129" s="714"/>
      <c r="I129" s="714"/>
      <c r="J129" s="715"/>
      <c r="K129" s="715"/>
      <c r="L129" s="715"/>
      <c r="M129" s="715"/>
      <c r="N129" s="715"/>
      <c r="O129" s="715"/>
      <c r="P129" s="733"/>
      <c r="Q129" s="741">
        <v>0</v>
      </c>
      <c r="R129" s="741">
        <v>0</v>
      </c>
      <c r="S129" s="741">
        <f t="shared" si="1"/>
        <v>0</v>
      </c>
    </row>
    <row r="130" spans="1:19">
      <c r="A130" s="721"/>
      <c r="B130" s="739"/>
      <c r="C130" s="714" t="str">
        <f>'[2]RAB 2.2.5'!F15</f>
        <v>Belanja Barang &amp; Jasa</v>
      </c>
      <c r="D130" s="714"/>
      <c r="E130" s="714"/>
      <c r="F130" s="714"/>
      <c r="G130" s="714"/>
      <c r="H130" s="714"/>
      <c r="I130" s="714"/>
      <c r="J130" s="715"/>
      <c r="K130" s="715"/>
      <c r="L130" s="715"/>
      <c r="M130" s="715"/>
      <c r="N130" s="715"/>
      <c r="O130" s="715"/>
      <c r="P130" s="733"/>
      <c r="Q130" s="741">
        <v>0</v>
      </c>
      <c r="R130" s="741">
        <v>0</v>
      </c>
      <c r="S130" s="741">
        <f t="shared" si="1"/>
        <v>0</v>
      </c>
    </row>
    <row r="131" spans="1:19">
      <c r="A131" s="721"/>
      <c r="B131" s="785" t="s">
        <v>60</v>
      </c>
      <c r="C131" s="786"/>
      <c r="D131" s="786"/>
      <c r="E131" s="786"/>
      <c r="F131" s="786"/>
      <c r="G131" s="786"/>
      <c r="H131" s="786"/>
      <c r="I131" s="786"/>
      <c r="J131" s="715"/>
      <c r="K131" s="715"/>
      <c r="L131" s="715"/>
      <c r="M131" s="715"/>
      <c r="N131" s="715"/>
      <c r="O131" s="715"/>
      <c r="P131" s="733"/>
      <c r="Q131" s="745">
        <f>SUM(Q132:Q134)</f>
        <v>0</v>
      </c>
      <c r="R131" s="745">
        <f>SUM(R132:R134)</f>
        <v>0</v>
      </c>
      <c r="S131" s="745">
        <f t="shared" si="1"/>
        <v>0</v>
      </c>
    </row>
    <row r="132" spans="1:19">
      <c r="A132" s="721"/>
      <c r="B132" s="739" t="s">
        <v>14</v>
      </c>
      <c r="C132" s="786" t="str">
        <f>'[2]RAB 2.4.14'!F18</f>
        <v>- Tukang</v>
      </c>
      <c r="D132" s="786"/>
      <c r="E132" s="786"/>
      <c r="F132" s="786"/>
      <c r="G132" s="786"/>
      <c r="H132" s="786"/>
      <c r="I132" s="786"/>
      <c r="J132" s="715"/>
      <c r="K132" s="715"/>
      <c r="L132" s="715"/>
      <c r="M132" s="715"/>
      <c r="N132" s="715"/>
      <c r="O132" s="715"/>
      <c r="P132" s="733"/>
      <c r="Q132" s="741">
        <v>0</v>
      </c>
      <c r="R132" s="741">
        <v>0</v>
      </c>
      <c r="S132" s="741">
        <f t="shared" si="1"/>
        <v>0</v>
      </c>
    </row>
    <row r="133" spans="1:19">
      <c r="A133" s="721"/>
      <c r="B133" s="739" t="s">
        <v>14</v>
      </c>
      <c r="C133" s="786">
        <f>'[2]RAB 2.4.14'!F19</f>
        <v>0</v>
      </c>
      <c r="D133" s="786"/>
      <c r="E133" s="786"/>
      <c r="F133" s="786"/>
      <c r="G133" s="786"/>
      <c r="H133" s="786"/>
      <c r="I133" s="786"/>
      <c r="J133" s="715"/>
      <c r="K133" s="715"/>
      <c r="L133" s="715"/>
      <c r="M133" s="715"/>
      <c r="N133" s="715"/>
      <c r="O133" s="715"/>
      <c r="P133" s="733"/>
      <c r="Q133" s="741">
        <v>0</v>
      </c>
      <c r="R133" s="741">
        <v>0</v>
      </c>
      <c r="S133" s="741">
        <f t="shared" si="1"/>
        <v>0</v>
      </c>
    </row>
    <row r="134" spans="1:19">
      <c r="A134" s="721"/>
      <c r="B134" s="739" t="s">
        <v>14</v>
      </c>
      <c r="C134" s="714" t="str">
        <f>'[2]RAB 2.4.14'!F25</f>
        <v>Pasir</v>
      </c>
      <c r="D134" s="714"/>
      <c r="E134" s="714"/>
      <c r="F134" s="714"/>
      <c r="G134" s="714"/>
      <c r="H134" s="714"/>
      <c r="I134" s="714"/>
      <c r="J134" s="715"/>
      <c r="K134" s="715"/>
      <c r="L134" s="715"/>
      <c r="M134" s="715"/>
      <c r="N134" s="715"/>
      <c r="O134" s="715"/>
      <c r="P134" s="733"/>
      <c r="Q134" s="741">
        <v>0</v>
      </c>
      <c r="R134" s="741">
        <v>0</v>
      </c>
      <c r="S134" s="741">
        <f t="shared" si="1"/>
        <v>0</v>
      </c>
    </row>
    <row r="135" spans="1:19">
      <c r="A135" s="718" t="s">
        <v>602</v>
      </c>
      <c r="B135" s="748" t="s">
        <v>629</v>
      </c>
      <c r="C135" s="749"/>
      <c r="D135" s="749"/>
      <c r="E135" s="715"/>
      <c r="F135" s="715"/>
      <c r="G135" s="715"/>
      <c r="H135" s="715"/>
      <c r="I135" s="715"/>
      <c r="J135" s="715"/>
      <c r="K135" s="715"/>
      <c r="L135" s="715"/>
      <c r="M135" s="715"/>
      <c r="N135" s="715"/>
      <c r="O135" s="715"/>
      <c r="P135" s="733"/>
      <c r="Q135" s="745">
        <f>Q136+Q141</f>
        <v>0</v>
      </c>
      <c r="R135" s="745">
        <f>R136+R141</f>
        <v>0</v>
      </c>
      <c r="S135" s="745">
        <f t="shared" si="1"/>
        <v>0</v>
      </c>
    </row>
    <row r="136" spans="1:19">
      <c r="A136" s="721"/>
      <c r="B136" s="785" t="s">
        <v>29</v>
      </c>
      <c r="C136" s="786"/>
      <c r="D136" s="786"/>
      <c r="E136" s="715"/>
      <c r="F136" s="715"/>
      <c r="G136" s="715"/>
      <c r="H136" s="715"/>
      <c r="I136" s="715"/>
      <c r="J136" s="715"/>
      <c r="K136" s="715"/>
      <c r="L136" s="715"/>
      <c r="M136" s="715"/>
      <c r="N136" s="715"/>
      <c r="O136" s="715"/>
      <c r="P136" s="733"/>
      <c r="Q136" s="745">
        <f>SUM(Q137:Q140)</f>
        <v>0</v>
      </c>
      <c r="R136" s="745">
        <f>SUM(R137:R140)</f>
        <v>0</v>
      </c>
      <c r="S136" s="745">
        <f t="shared" si="1"/>
        <v>0</v>
      </c>
    </row>
    <row r="137" spans="1:19">
      <c r="A137" s="721"/>
      <c r="B137" s="751" t="s">
        <v>14</v>
      </c>
      <c r="C137" s="714" t="s">
        <v>630</v>
      </c>
      <c r="D137" s="714"/>
      <c r="E137" s="715"/>
      <c r="F137" s="715"/>
      <c r="G137" s="715"/>
      <c r="H137" s="715"/>
      <c r="I137" s="715"/>
      <c r="J137" s="715"/>
      <c r="K137" s="715"/>
      <c r="L137" s="715"/>
      <c r="M137" s="715"/>
      <c r="N137" s="715"/>
      <c r="O137" s="715"/>
      <c r="P137" s="733"/>
      <c r="Q137" s="741">
        <v>0</v>
      </c>
      <c r="R137" s="741">
        <v>0</v>
      </c>
      <c r="S137" s="741">
        <f t="shared" si="1"/>
        <v>0</v>
      </c>
    </row>
    <row r="138" spans="1:19">
      <c r="A138" s="721"/>
      <c r="B138" s="751" t="s">
        <v>14</v>
      </c>
      <c r="C138" s="714" t="s">
        <v>489</v>
      </c>
      <c r="D138" s="714"/>
      <c r="E138" s="715"/>
      <c r="F138" s="715"/>
      <c r="G138" s="715"/>
      <c r="H138" s="715"/>
      <c r="I138" s="715"/>
      <c r="J138" s="715"/>
      <c r="K138" s="715"/>
      <c r="L138" s="715"/>
      <c r="M138" s="715"/>
      <c r="N138" s="715"/>
      <c r="O138" s="715"/>
      <c r="P138" s="733"/>
      <c r="Q138" s="741">
        <v>0</v>
      </c>
      <c r="R138" s="741">
        <v>0</v>
      </c>
      <c r="S138" s="741">
        <f t="shared" si="1"/>
        <v>0</v>
      </c>
    </row>
    <row r="139" spans="1:19">
      <c r="A139" s="721"/>
      <c r="B139" s="739" t="s">
        <v>14</v>
      </c>
      <c r="C139" s="786" t="s">
        <v>77</v>
      </c>
      <c r="D139" s="786"/>
      <c r="E139" s="715"/>
      <c r="F139" s="715"/>
      <c r="G139" s="715"/>
      <c r="H139" s="715"/>
      <c r="I139" s="715"/>
      <c r="J139" s="715"/>
      <c r="K139" s="715"/>
      <c r="L139" s="715"/>
      <c r="M139" s="715"/>
      <c r="N139" s="715"/>
      <c r="O139" s="715"/>
      <c r="P139" s="733"/>
      <c r="Q139" s="741">
        <v>0</v>
      </c>
      <c r="R139" s="741">
        <v>0</v>
      </c>
      <c r="S139" s="741">
        <f t="shared" si="1"/>
        <v>0</v>
      </c>
    </row>
    <row r="140" spans="1:19">
      <c r="A140" s="721"/>
      <c r="B140" s="739" t="s">
        <v>14</v>
      </c>
      <c r="C140" s="786" t="s">
        <v>178</v>
      </c>
      <c r="D140" s="786"/>
      <c r="E140" s="715"/>
      <c r="F140" s="715"/>
      <c r="G140" s="715"/>
      <c r="H140" s="715"/>
      <c r="I140" s="715"/>
      <c r="J140" s="715"/>
      <c r="K140" s="715"/>
      <c r="L140" s="715"/>
      <c r="M140" s="715"/>
      <c r="N140" s="715"/>
      <c r="O140" s="715"/>
      <c r="P140" s="733"/>
      <c r="Q140" s="741">
        <v>0</v>
      </c>
      <c r="R140" s="741">
        <v>0</v>
      </c>
      <c r="S140" s="741">
        <f t="shared" si="1"/>
        <v>0</v>
      </c>
    </row>
    <row r="141" spans="1:19">
      <c r="A141" s="721"/>
      <c r="B141" s="721" t="s">
        <v>60</v>
      </c>
      <c r="C141" s="714"/>
      <c r="D141" s="714"/>
      <c r="E141" s="715"/>
      <c r="F141" s="715"/>
      <c r="G141" s="715"/>
      <c r="H141" s="715"/>
      <c r="I141" s="715"/>
      <c r="J141" s="715"/>
      <c r="K141" s="715"/>
      <c r="L141" s="715"/>
      <c r="M141" s="715"/>
      <c r="N141" s="715"/>
      <c r="O141" s="715"/>
      <c r="P141" s="733"/>
      <c r="Q141" s="745">
        <f>Q142</f>
        <v>0</v>
      </c>
      <c r="R141" s="745">
        <f>R142</f>
        <v>0</v>
      </c>
      <c r="S141" s="741">
        <f t="shared" si="1"/>
        <v>0</v>
      </c>
    </row>
    <row r="142" spans="1:19">
      <c r="A142" s="721"/>
      <c r="B142" s="739"/>
      <c r="C142" s="714" t="s">
        <v>631</v>
      </c>
      <c r="D142" s="714"/>
      <c r="E142" s="715"/>
      <c r="F142" s="715"/>
      <c r="G142" s="715"/>
      <c r="H142" s="715"/>
      <c r="I142" s="715"/>
      <c r="J142" s="715"/>
      <c r="K142" s="715"/>
      <c r="L142" s="715"/>
      <c r="M142" s="715"/>
      <c r="N142" s="715"/>
      <c r="O142" s="715"/>
      <c r="P142" s="733"/>
      <c r="Q142" s="741">
        <v>0</v>
      </c>
      <c r="R142" s="741">
        <v>0</v>
      </c>
      <c r="S142" s="741">
        <f t="shared" si="1"/>
        <v>0</v>
      </c>
    </row>
    <row r="143" spans="1:19">
      <c r="A143" s="721"/>
      <c r="B143" s="720"/>
      <c r="C143" s="790"/>
      <c r="D143" s="790"/>
      <c r="E143" s="790"/>
      <c r="F143" s="790"/>
      <c r="G143" s="790"/>
      <c r="H143" s="790"/>
      <c r="I143" s="790"/>
      <c r="J143" s="715"/>
      <c r="K143" s="715"/>
      <c r="L143" s="715"/>
      <c r="M143" s="715"/>
      <c r="N143" s="715"/>
      <c r="O143" s="715"/>
      <c r="P143" s="733"/>
      <c r="Q143" s="741"/>
      <c r="R143" s="741"/>
      <c r="S143" s="741"/>
    </row>
    <row r="144" spans="1:19">
      <c r="A144" s="718">
        <v>2.2999999999999998</v>
      </c>
      <c r="B144" s="718" t="s">
        <v>632</v>
      </c>
      <c r="C144" s="736"/>
      <c r="D144" s="736"/>
      <c r="E144" s="736"/>
      <c r="F144" s="736"/>
      <c r="G144" s="736"/>
      <c r="H144" s="736"/>
      <c r="I144" s="736"/>
      <c r="J144" s="737"/>
      <c r="K144" s="737"/>
      <c r="L144" s="737"/>
      <c r="M144" s="737"/>
      <c r="N144" s="737"/>
      <c r="O144" s="737"/>
      <c r="P144" s="738"/>
      <c r="Q144" s="745">
        <f>SUM(Q145+Q149+Q155+Q160+Q169)</f>
        <v>0</v>
      </c>
      <c r="R144" s="745">
        <f>SUM(R145+R149+R155+R160+R169)</f>
        <v>0</v>
      </c>
      <c r="S144" s="741">
        <f t="shared" si="1"/>
        <v>0</v>
      </c>
    </row>
    <row r="145" spans="1:19">
      <c r="A145" s="718" t="s">
        <v>603</v>
      </c>
      <c r="B145" s="748" t="s">
        <v>156</v>
      </c>
      <c r="C145" s="749"/>
      <c r="D145" s="749"/>
      <c r="E145" s="749"/>
      <c r="F145" s="749"/>
      <c r="G145" s="749"/>
      <c r="H145" s="749"/>
      <c r="I145" s="749"/>
      <c r="J145" s="715"/>
      <c r="K145" s="715"/>
      <c r="L145" s="715"/>
      <c r="M145" s="715"/>
      <c r="N145" s="715"/>
      <c r="O145" s="715"/>
      <c r="P145" s="733"/>
      <c r="Q145" s="745">
        <f>SUM(Q146)</f>
        <v>0</v>
      </c>
      <c r="R145" s="745">
        <f>SUM(R146)</f>
        <v>0</v>
      </c>
      <c r="S145" s="741">
        <f t="shared" si="1"/>
        <v>0</v>
      </c>
    </row>
    <row r="146" spans="1:19">
      <c r="A146" s="721"/>
      <c r="B146" s="785" t="s">
        <v>29</v>
      </c>
      <c r="C146" s="786"/>
      <c r="D146" s="786"/>
      <c r="E146" s="786"/>
      <c r="F146" s="786"/>
      <c r="G146" s="786"/>
      <c r="H146" s="786"/>
      <c r="I146" s="786"/>
      <c r="J146" s="714"/>
      <c r="K146" s="714"/>
      <c r="L146" s="714"/>
      <c r="M146" s="714"/>
      <c r="N146" s="714"/>
      <c r="O146" s="714"/>
      <c r="P146" s="740"/>
      <c r="Q146" s="745">
        <f>SUM(Q147:Q147)</f>
        <v>0</v>
      </c>
      <c r="R146" s="745">
        <f>SUM(R147:R147)</f>
        <v>0</v>
      </c>
      <c r="S146" s="741">
        <f t="shared" si="1"/>
        <v>0</v>
      </c>
    </row>
    <row r="147" spans="1:19">
      <c r="A147" s="721"/>
      <c r="B147" s="739" t="s">
        <v>14</v>
      </c>
      <c r="C147" s="786" t="s">
        <v>198</v>
      </c>
      <c r="D147" s="786"/>
      <c r="E147" s="746"/>
      <c r="F147" s="715"/>
      <c r="G147" s="715"/>
      <c r="H147" s="715"/>
      <c r="I147" s="715"/>
      <c r="J147" s="715"/>
      <c r="K147" s="715"/>
      <c r="L147" s="715"/>
      <c r="M147" s="715"/>
      <c r="N147" s="715"/>
      <c r="O147" s="715"/>
      <c r="P147" s="733"/>
      <c r="Q147" s="741">
        <v>0</v>
      </c>
      <c r="R147" s="741">
        <v>0</v>
      </c>
      <c r="S147" s="741">
        <f t="shared" si="1"/>
        <v>0</v>
      </c>
    </row>
    <row r="148" spans="1:19">
      <c r="A148" s="721"/>
      <c r="B148" s="739"/>
      <c r="C148" s="714"/>
      <c r="D148" s="714"/>
      <c r="E148" s="746"/>
      <c r="F148" s="715"/>
      <c r="G148" s="715"/>
      <c r="H148" s="715"/>
      <c r="I148" s="715"/>
      <c r="J148" s="715"/>
      <c r="K148" s="715"/>
      <c r="L148" s="715"/>
      <c r="M148" s="715"/>
      <c r="N148" s="715"/>
      <c r="O148" s="715"/>
      <c r="P148" s="733"/>
      <c r="Q148" s="741"/>
      <c r="R148" s="741"/>
      <c r="S148" s="741"/>
    </row>
    <row r="149" spans="1:19">
      <c r="A149" s="718" t="s">
        <v>604</v>
      </c>
      <c r="B149" s="718" t="s">
        <v>172</v>
      </c>
      <c r="C149" s="714"/>
      <c r="D149" s="714"/>
      <c r="E149" s="715"/>
      <c r="F149" s="715"/>
      <c r="G149" s="715"/>
      <c r="H149" s="715"/>
      <c r="I149" s="715"/>
      <c r="J149" s="715"/>
      <c r="K149" s="715"/>
      <c r="L149" s="715"/>
      <c r="M149" s="715"/>
      <c r="N149" s="715"/>
      <c r="O149" s="715"/>
      <c r="P149" s="733"/>
      <c r="Q149" s="745">
        <f>Q150</f>
        <v>0</v>
      </c>
      <c r="R149" s="745">
        <f>R150</f>
        <v>0</v>
      </c>
      <c r="S149" s="741">
        <f t="shared" si="1"/>
        <v>0</v>
      </c>
    </row>
    <row r="150" spans="1:19">
      <c r="A150" s="721"/>
      <c r="B150" s="785" t="s">
        <v>29</v>
      </c>
      <c r="C150" s="786"/>
      <c r="D150" s="786"/>
      <c r="E150" s="715"/>
      <c r="F150" s="715"/>
      <c r="G150" s="715"/>
      <c r="H150" s="715"/>
      <c r="I150" s="714"/>
      <c r="J150" s="714"/>
      <c r="K150" s="714"/>
      <c r="L150" s="714"/>
      <c r="M150" s="714"/>
      <c r="N150" s="714"/>
      <c r="O150" s="714"/>
      <c r="P150" s="740"/>
      <c r="Q150" s="745">
        <f>SUM(Q151:Q153)</f>
        <v>0</v>
      </c>
      <c r="R150" s="745">
        <f>SUM(R151:R153)</f>
        <v>0</v>
      </c>
      <c r="S150" s="741">
        <f t="shared" si="1"/>
        <v>0</v>
      </c>
    </row>
    <row r="151" spans="1:19">
      <c r="A151" s="721"/>
      <c r="B151" s="739" t="s">
        <v>14</v>
      </c>
      <c r="C151" s="714">
        <f>'[2]RAB 2.3.2 OKE'!F12</f>
        <v>2</v>
      </c>
      <c r="D151" s="714"/>
      <c r="E151" s="746"/>
      <c r="F151" s="715"/>
      <c r="G151" s="715"/>
      <c r="H151" s="715"/>
      <c r="I151" s="715"/>
      <c r="J151" s="715"/>
      <c r="K151" s="715"/>
      <c r="L151" s="715"/>
      <c r="M151" s="715"/>
      <c r="N151" s="715"/>
      <c r="O151" s="715"/>
      <c r="P151" s="733"/>
      <c r="Q151" s="741">
        <v>0</v>
      </c>
      <c r="R151" s="741">
        <v>0</v>
      </c>
      <c r="S151" s="741">
        <f t="shared" si="1"/>
        <v>0</v>
      </c>
    </row>
    <row r="152" spans="1:19">
      <c r="A152" s="721"/>
      <c r="B152" s="739" t="s">
        <v>14</v>
      </c>
      <c r="C152" s="786" t="str">
        <f>'[2]RAB 2.3.2 OKE'!F16</f>
        <v>Makanan</v>
      </c>
      <c r="D152" s="786"/>
      <c r="E152" s="746"/>
      <c r="F152" s="715"/>
      <c r="G152" s="715"/>
      <c r="H152" s="715"/>
      <c r="I152" s="715"/>
      <c r="J152" s="715"/>
      <c r="K152" s="715"/>
      <c r="L152" s="715"/>
      <c r="M152" s="715"/>
      <c r="N152" s="715"/>
      <c r="O152" s="715"/>
      <c r="P152" s="733"/>
      <c r="Q152" s="741">
        <v>0</v>
      </c>
      <c r="R152" s="741">
        <v>0</v>
      </c>
      <c r="S152" s="741">
        <f t="shared" si="1"/>
        <v>0</v>
      </c>
    </row>
    <row r="153" spans="1:19">
      <c r="A153" s="721"/>
      <c r="B153" s="739" t="s">
        <v>14</v>
      </c>
      <c r="C153" s="714" t="str">
        <f>'[2]RAB 2.3.2 OKE'!F20</f>
        <v>Transport Peserta Gerak Jalan  (PP)</v>
      </c>
      <c r="D153" s="714"/>
      <c r="E153" s="746"/>
      <c r="F153" s="715"/>
      <c r="G153" s="715"/>
      <c r="H153" s="715"/>
      <c r="I153" s="715"/>
      <c r="J153" s="715"/>
      <c r="K153" s="715"/>
      <c r="L153" s="715"/>
      <c r="M153" s="715"/>
      <c r="N153" s="715"/>
      <c r="O153" s="715"/>
      <c r="P153" s="733"/>
      <c r="Q153" s="741">
        <v>0</v>
      </c>
      <c r="R153" s="741">
        <v>0</v>
      </c>
      <c r="S153" s="741">
        <f t="shared" si="1"/>
        <v>0</v>
      </c>
    </row>
    <row r="154" spans="1:19">
      <c r="A154" s="721"/>
      <c r="B154" s="739"/>
      <c r="C154" s="714"/>
      <c r="D154" s="714"/>
      <c r="E154" s="746"/>
      <c r="F154" s="715"/>
      <c r="G154" s="715"/>
      <c r="H154" s="715"/>
      <c r="I154" s="715"/>
      <c r="J154" s="715"/>
      <c r="K154" s="715"/>
      <c r="L154" s="715"/>
      <c r="M154" s="715"/>
      <c r="N154" s="715"/>
      <c r="O154" s="715"/>
      <c r="P154" s="733"/>
      <c r="Q154" s="741"/>
      <c r="R154" s="741"/>
      <c r="S154" s="741"/>
    </row>
    <row r="155" spans="1:19">
      <c r="A155" s="718" t="s">
        <v>605</v>
      </c>
      <c r="B155" s="748" t="s">
        <v>200</v>
      </c>
      <c r="C155" s="749"/>
      <c r="D155" s="749"/>
      <c r="E155" s="715"/>
      <c r="F155" s="715"/>
      <c r="G155" s="715"/>
      <c r="H155" s="715"/>
      <c r="I155" s="715"/>
      <c r="J155" s="715"/>
      <c r="K155" s="715"/>
      <c r="L155" s="715"/>
      <c r="M155" s="715"/>
      <c r="N155" s="715"/>
      <c r="O155" s="715"/>
      <c r="P155" s="733"/>
      <c r="Q155" s="745">
        <f>SUM(Q156)</f>
        <v>0</v>
      </c>
      <c r="R155" s="745">
        <f>SUM(R156)</f>
        <v>0</v>
      </c>
      <c r="S155" s="741">
        <f t="shared" si="1"/>
        <v>0</v>
      </c>
    </row>
    <row r="156" spans="1:19">
      <c r="A156" s="721"/>
      <c r="B156" s="785" t="s">
        <v>29</v>
      </c>
      <c r="C156" s="786"/>
      <c r="D156" s="786"/>
      <c r="E156" s="715"/>
      <c r="F156" s="715"/>
      <c r="G156" s="715"/>
      <c r="H156" s="715"/>
      <c r="I156" s="714"/>
      <c r="J156" s="714"/>
      <c r="K156" s="714"/>
      <c r="L156" s="714"/>
      <c r="M156" s="714"/>
      <c r="N156" s="714"/>
      <c r="O156" s="714"/>
      <c r="P156" s="740"/>
      <c r="Q156" s="745">
        <f>SUM(Q157+Q158)</f>
        <v>0</v>
      </c>
      <c r="R156" s="745">
        <f>SUM(R157+R158)</f>
        <v>0</v>
      </c>
      <c r="S156" s="741">
        <f t="shared" si="1"/>
        <v>0</v>
      </c>
    </row>
    <row r="157" spans="1:19">
      <c r="A157" s="721"/>
      <c r="B157" s="739" t="s">
        <v>14</v>
      </c>
      <c r="C157" s="786" t="s">
        <v>201</v>
      </c>
      <c r="D157" s="786"/>
      <c r="E157" s="746"/>
      <c r="F157" s="715"/>
      <c r="G157" s="715"/>
      <c r="H157" s="715"/>
      <c r="I157" s="715"/>
      <c r="J157" s="715"/>
      <c r="K157" s="715"/>
      <c r="L157" s="715"/>
      <c r="M157" s="715"/>
      <c r="N157" s="715"/>
      <c r="O157" s="715"/>
      <c r="P157" s="733"/>
      <c r="Q157" s="741">
        <v>0</v>
      </c>
      <c r="R157" s="741">
        <v>0</v>
      </c>
      <c r="S157" s="741">
        <f t="shared" si="1"/>
        <v>0</v>
      </c>
    </row>
    <row r="158" spans="1:19">
      <c r="A158" s="721"/>
      <c r="B158" s="739" t="s">
        <v>14</v>
      </c>
      <c r="C158" s="786" t="s">
        <v>633</v>
      </c>
      <c r="D158" s="786"/>
      <c r="E158" s="746"/>
      <c r="F158" s="715"/>
      <c r="G158" s="715"/>
      <c r="H158" s="715"/>
      <c r="I158" s="715"/>
      <c r="J158" s="715"/>
      <c r="K158" s="715"/>
      <c r="L158" s="715"/>
      <c r="M158" s="715"/>
      <c r="N158" s="715"/>
      <c r="O158" s="715"/>
      <c r="P158" s="733"/>
      <c r="Q158" s="741">
        <v>0</v>
      </c>
      <c r="R158" s="741">
        <v>0</v>
      </c>
      <c r="S158" s="741">
        <f t="shared" si="1"/>
        <v>0</v>
      </c>
    </row>
    <row r="159" spans="1:19">
      <c r="A159" s="721"/>
      <c r="B159" s="739"/>
      <c r="C159" s="714"/>
      <c r="D159" s="714"/>
      <c r="E159" s="746"/>
      <c r="F159" s="715"/>
      <c r="G159" s="715"/>
      <c r="H159" s="715"/>
      <c r="I159" s="715"/>
      <c r="J159" s="715"/>
      <c r="K159" s="715"/>
      <c r="L159" s="715"/>
      <c r="M159" s="715"/>
      <c r="N159" s="715"/>
      <c r="O159" s="715"/>
      <c r="P159" s="733"/>
      <c r="Q159" s="741"/>
      <c r="R159" s="741"/>
      <c r="S159" s="741"/>
    </row>
    <row r="160" spans="1:19">
      <c r="A160" s="718" t="s">
        <v>606</v>
      </c>
      <c r="B160" s="718" t="s">
        <v>209</v>
      </c>
      <c r="C160" s="714"/>
      <c r="D160" s="714"/>
      <c r="E160" s="715"/>
      <c r="F160" s="715"/>
      <c r="G160" s="715"/>
      <c r="H160" s="715"/>
      <c r="I160" s="715"/>
      <c r="J160" s="715"/>
      <c r="K160" s="715"/>
      <c r="L160" s="715"/>
      <c r="M160" s="715"/>
      <c r="N160" s="715"/>
      <c r="O160" s="715"/>
      <c r="P160" s="733"/>
      <c r="Q160" s="745">
        <f>Q161</f>
        <v>0</v>
      </c>
      <c r="R160" s="745">
        <f>R161</f>
        <v>0</v>
      </c>
      <c r="S160" s="741">
        <f t="shared" si="1"/>
        <v>0</v>
      </c>
    </row>
    <row r="161" spans="1:19">
      <c r="A161" s="721"/>
      <c r="B161" s="785" t="s">
        <v>29</v>
      </c>
      <c r="C161" s="786"/>
      <c r="D161" s="786"/>
      <c r="E161" s="715"/>
      <c r="F161" s="715"/>
      <c r="G161" s="715"/>
      <c r="H161" s="715"/>
      <c r="I161" s="714"/>
      <c r="J161" s="714"/>
      <c r="K161" s="714"/>
      <c r="L161" s="714"/>
      <c r="M161" s="714"/>
      <c r="N161" s="714"/>
      <c r="O161" s="714"/>
      <c r="P161" s="740"/>
      <c r="Q161" s="745">
        <f>SUM(Q162:Q167)</f>
        <v>0</v>
      </c>
      <c r="R161" s="745">
        <f>SUM(R162:R167)</f>
        <v>0</v>
      </c>
      <c r="S161" s="741">
        <f t="shared" si="1"/>
        <v>0</v>
      </c>
    </row>
    <row r="162" spans="1:19">
      <c r="A162" s="721"/>
      <c r="B162" s="739"/>
      <c r="C162" s="786">
        <f>'[2]RAB 2.3.6'!F12</f>
        <v>0</v>
      </c>
      <c r="D162" s="786"/>
      <c r="E162" s="746"/>
      <c r="F162" s="715"/>
      <c r="G162" s="715"/>
      <c r="H162" s="715"/>
      <c r="I162" s="715"/>
      <c r="J162" s="715"/>
      <c r="K162" s="715"/>
      <c r="L162" s="715"/>
      <c r="M162" s="715"/>
      <c r="N162" s="715"/>
      <c r="O162" s="715"/>
      <c r="P162" s="733"/>
      <c r="Q162" s="741">
        <v>0</v>
      </c>
      <c r="R162" s="741">
        <v>0</v>
      </c>
      <c r="S162" s="741">
        <f t="shared" si="1"/>
        <v>0</v>
      </c>
    </row>
    <row r="163" spans="1:19">
      <c r="A163" s="721"/>
      <c r="B163" s="739"/>
      <c r="C163" s="790" t="str">
        <f>'[2]RAB 2.3.6'!F13</f>
        <v>Belanja Barang &amp; Jasa</v>
      </c>
      <c r="D163" s="786"/>
      <c r="E163" s="746"/>
      <c r="F163" s="715"/>
      <c r="G163" s="715"/>
      <c r="H163" s="715"/>
      <c r="I163" s="715"/>
      <c r="J163" s="715"/>
      <c r="K163" s="715"/>
      <c r="L163" s="715"/>
      <c r="M163" s="715"/>
      <c r="N163" s="715"/>
      <c r="O163" s="715"/>
      <c r="P163" s="733"/>
      <c r="Q163" s="741">
        <v>0</v>
      </c>
      <c r="R163" s="741">
        <v>0</v>
      </c>
      <c r="S163" s="741">
        <f t="shared" si="1"/>
        <v>0</v>
      </c>
    </row>
    <row r="164" spans="1:19">
      <c r="A164" s="721"/>
      <c r="B164" s="739"/>
      <c r="C164" s="750" t="str">
        <f>'[2]RAB 2.3.6'!F14</f>
        <v>Bahan/Peralatan Olahraga</v>
      </c>
      <c r="D164" s="750"/>
      <c r="E164" s="746"/>
      <c r="F164" s="715"/>
      <c r="G164" s="715"/>
      <c r="H164" s="715"/>
      <c r="I164" s="715"/>
      <c r="J164" s="715"/>
      <c r="K164" s="715"/>
      <c r="L164" s="715"/>
      <c r="M164" s="715"/>
      <c r="N164" s="715"/>
      <c r="O164" s="715"/>
      <c r="P164" s="733"/>
      <c r="Q164" s="742">
        <v>0</v>
      </c>
      <c r="R164" s="742">
        <v>0</v>
      </c>
      <c r="S164" s="741">
        <f t="shared" si="1"/>
        <v>0</v>
      </c>
    </row>
    <row r="165" spans="1:19">
      <c r="A165" s="721"/>
      <c r="B165" s="739"/>
      <c r="C165" s="714" t="str">
        <f>'[2]RAB 2.3.6'!F15</f>
        <v>- Raket</v>
      </c>
      <c r="D165" s="714"/>
      <c r="E165" s="746"/>
      <c r="F165" s="715"/>
      <c r="G165" s="715"/>
      <c r="H165" s="715"/>
      <c r="I165" s="715"/>
      <c r="J165" s="715"/>
      <c r="K165" s="715"/>
      <c r="L165" s="715"/>
      <c r="M165" s="715"/>
      <c r="N165" s="715"/>
      <c r="O165" s="715"/>
      <c r="P165" s="733"/>
      <c r="Q165" s="741">
        <v>0</v>
      </c>
      <c r="R165" s="741">
        <v>0</v>
      </c>
      <c r="S165" s="741">
        <f t="shared" si="1"/>
        <v>0</v>
      </c>
    </row>
    <row r="166" spans="1:19">
      <c r="A166" s="721"/>
      <c r="B166" s="739"/>
      <c r="C166" s="714" t="str">
        <f>'[2]RAB 2.3.6'!F16</f>
        <v>- Bola Badminton</v>
      </c>
      <c r="D166" s="714"/>
      <c r="E166" s="746"/>
      <c r="F166" s="715"/>
      <c r="G166" s="715"/>
      <c r="H166" s="715"/>
      <c r="I166" s="715"/>
      <c r="J166" s="715"/>
      <c r="K166" s="715"/>
      <c r="L166" s="715"/>
      <c r="M166" s="715"/>
      <c r="N166" s="715"/>
      <c r="O166" s="715"/>
      <c r="P166" s="733"/>
      <c r="Q166" s="741">
        <v>0</v>
      </c>
      <c r="R166" s="741">
        <v>0</v>
      </c>
      <c r="S166" s="741">
        <f t="shared" si="1"/>
        <v>0</v>
      </c>
    </row>
    <row r="167" spans="1:19">
      <c r="A167" s="721"/>
      <c r="B167" s="739"/>
      <c r="C167" s="714" t="str">
        <f>'[2]RAB 2.3.6'!F17</f>
        <v>- Tas Raket Badminton</v>
      </c>
      <c r="D167" s="714"/>
      <c r="E167" s="746"/>
      <c r="F167" s="715"/>
      <c r="G167" s="715"/>
      <c r="H167" s="715"/>
      <c r="I167" s="715"/>
      <c r="J167" s="715"/>
      <c r="K167" s="715"/>
      <c r="L167" s="715"/>
      <c r="M167" s="715"/>
      <c r="N167" s="715"/>
      <c r="O167" s="715"/>
      <c r="P167" s="733"/>
      <c r="Q167" s="741">
        <v>0</v>
      </c>
      <c r="R167" s="741">
        <v>0</v>
      </c>
      <c r="S167" s="741">
        <f t="shared" si="1"/>
        <v>0</v>
      </c>
    </row>
    <row r="168" spans="1:19">
      <c r="A168" s="721"/>
      <c r="B168" s="739"/>
      <c r="C168" s="714"/>
      <c r="D168" s="714"/>
      <c r="E168" s="746"/>
      <c r="F168" s="715"/>
      <c r="G168" s="715"/>
      <c r="H168" s="715"/>
      <c r="I168" s="715"/>
      <c r="J168" s="715"/>
      <c r="K168" s="715"/>
      <c r="L168" s="715"/>
      <c r="M168" s="715"/>
      <c r="N168" s="715"/>
      <c r="O168" s="715"/>
      <c r="P168" s="733"/>
      <c r="Q168" s="741"/>
      <c r="R168" s="741"/>
      <c r="S168" s="741"/>
    </row>
    <row r="169" spans="1:19">
      <c r="A169" s="718" t="s">
        <v>607</v>
      </c>
      <c r="B169" s="718" t="s">
        <v>173</v>
      </c>
      <c r="C169" s="714"/>
      <c r="D169" s="714"/>
      <c r="E169" s="715"/>
      <c r="F169" s="715"/>
      <c r="G169" s="715"/>
      <c r="H169" s="715"/>
      <c r="I169" s="715"/>
      <c r="J169" s="715"/>
      <c r="K169" s="715"/>
      <c r="L169" s="715"/>
      <c r="M169" s="715"/>
      <c r="N169" s="715"/>
      <c r="O169" s="715"/>
      <c r="P169" s="733"/>
      <c r="Q169" s="745">
        <f>SUM(Q170)</f>
        <v>0</v>
      </c>
      <c r="R169" s="745">
        <f>SUM(R170)</f>
        <v>0</v>
      </c>
      <c r="S169" s="741">
        <f t="shared" si="1"/>
        <v>0</v>
      </c>
    </row>
    <row r="170" spans="1:19">
      <c r="A170" s="721"/>
      <c r="B170" s="785" t="s">
        <v>29</v>
      </c>
      <c r="C170" s="786"/>
      <c r="D170" s="786"/>
      <c r="E170" s="715"/>
      <c r="F170" s="715"/>
      <c r="G170" s="715"/>
      <c r="H170" s="715"/>
      <c r="I170" s="714"/>
      <c r="J170" s="714"/>
      <c r="K170" s="714"/>
      <c r="L170" s="714"/>
      <c r="M170" s="714"/>
      <c r="N170" s="714"/>
      <c r="O170" s="714"/>
      <c r="P170" s="740"/>
      <c r="Q170" s="745">
        <f>SUM(Q171:Q171)</f>
        <v>0</v>
      </c>
      <c r="R170" s="745">
        <f>SUM(R171:R171)</f>
        <v>0</v>
      </c>
      <c r="S170" s="741">
        <f t="shared" si="1"/>
        <v>0</v>
      </c>
    </row>
    <row r="171" spans="1:19">
      <c r="A171" s="721"/>
      <c r="B171" s="739" t="s">
        <v>14</v>
      </c>
      <c r="C171" s="786" t="s">
        <v>79</v>
      </c>
      <c r="D171" s="786"/>
      <c r="E171" s="746"/>
      <c r="F171" s="715"/>
      <c r="G171" s="715"/>
      <c r="H171" s="715"/>
      <c r="I171" s="715"/>
      <c r="J171" s="715"/>
      <c r="K171" s="715"/>
      <c r="L171" s="715"/>
      <c r="M171" s="715"/>
      <c r="N171" s="715"/>
      <c r="O171" s="715"/>
      <c r="P171" s="733"/>
      <c r="Q171" s="741">
        <v>0</v>
      </c>
      <c r="R171" s="741">
        <v>0</v>
      </c>
      <c r="S171" s="741">
        <f t="shared" si="1"/>
        <v>0</v>
      </c>
    </row>
    <row r="172" spans="1:19">
      <c r="A172" s="721"/>
      <c r="B172" s="739"/>
      <c r="C172" s="714"/>
      <c r="D172" s="714"/>
      <c r="E172" s="746"/>
      <c r="F172" s="715"/>
      <c r="G172" s="715"/>
      <c r="H172" s="715"/>
      <c r="I172" s="715"/>
      <c r="J172" s="715"/>
      <c r="K172" s="715"/>
      <c r="L172" s="715"/>
      <c r="M172" s="715"/>
      <c r="N172" s="715"/>
      <c r="O172" s="715"/>
      <c r="P172" s="733"/>
      <c r="Q172" s="741"/>
      <c r="R172" s="741"/>
      <c r="S172" s="741"/>
    </row>
    <row r="173" spans="1:19">
      <c r="A173" s="718">
        <v>2.4</v>
      </c>
      <c r="B173" s="718" t="s">
        <v>451</v>
      </c>
      <c r="C173" s="736"/>
      <c r="D173" s="736"/>
      <c r="E173" s="737"/>
      <c r="F173" s="737"/>
      <c r="G173" s="737"/>
      <c r="H173" s="737"/>
      <c r="I173" s="737"/>
      <c r="J173" s="737"/>
      <c r="K173" s="737"/>
      <c r="L173" s="737"/>
      <c r="M173" s="737"/>
      <c r="N173" s="737"/>
      <c r="O173" s="737"/>
      <c r="P173" s="738"/>
      <c r="Q173" s="745">
        <f>Q174+Q178</f>
        <v>0</v>
      </c>
      <c r="R173" s="745">
        <f>R174+R178</f>
        <v>0</v>
      </c>
      <c r="S173" s="741">
        <f t="shared" si="1"/>
        <v>0</v>
      </c>
    </row>
    <row r="174" spans="1:19">
      <c r="A174" s="718" t="s">
        <v>608</v>
      </c>
      <c r="B174" s="748" t="s">
        <v>634</v>
      </c>
      <c r="C174" s="749"/>
      <c r="D174" s="749"/>
      <c r="E174" s="715"/>
      <c r="F174" s="715"/>
      <c r="G174" s="715"/>
      <c r="H174" s="715"/>
      <c r="I174" s="715"/>
      <c r="J174" s="715"/>
      <c r="K174" s="715"/>
      <c r="L174" s="715"/>
      <c r="M174" s="715"/>
      <c r="N174" s="715"/>
      <c r="O174" s="715"/>
      <c r="P174" s="733"/>
      <c r="Q174" s="745">
        <f>SUM(Q175)</f>
        <v>0</v>
      </c>
      <c r="R174" s="745">
        <f>SUM(R175)</f>
        <v>0</v>
      </c>
      <c r="S174" s="741">
        <f t="shared" si="1"/>
        <v>0</v>
      </c>
    </row>
    <row r="175" spans="1:19">
      <c r="A175" s="721"/>
      <c r="B175" s="785" t="s">
        <v>29</v>
      </c>
      <c r="C175" s="786"/>
      <c r="D175" s="786"/>
      <c r="E175" s="715"/>
      <c r="F175" s="715"/>
      <c r="G175" s="715"/>
      <c r="H175" s="715"/>
      <c r="I175" s="714"/>
      <c r="J175" s="714"/>
      <c r="K175" s="714"/>
      <c r="L175" s="714"/>
      <c r="M175" s="714"/>
      <c r="N175" s="714"/>
      <c r="O175" s="714"/>
      <c r="P175" s="740"/>
      <c r="Q175" s="745">
        <f>SUM(Q176:Q176)</f>
        <v>0</v>
      </c>
      <c r="R175" s="745">
        <f>SUM(R176:R176)</f>
        <v>0</v>
      </c>
      <c r="S175" s="741">
        <f t="shared" si="1"/>
        <v>0</v>
      </c>
    </row>
    <row r="176" spans="1:19">
      <c r="A176" s="721"/>
      <c r="B176" s="739" t="s">
        <v>14</v>
      </c>
      <c r="C176" s="786" t="s">
        <v>572</v>
      </c>
      <c r="D176" s="786"/>
      <c r="E176" s="746"/>
      <c r="F176" s="715"/>
      <c r="G176" s="715"/>
      <c r="H176" s="715"/>
      <c r="I176" s="715"/>
      <c r="J176" s="715"/>
      <c r="K176" s="715"/>
      <c r="L176" s="715"/>
      <c r="M176" s="715"/>
      <c r="N176" s="715"/>
      <c r="O176" s="715"/>
      <c r="P176" s="733"/>
      <c r="Q176" s="741">
        <v>0</v>
      </c>
      <c r="R176" s="741">
        <v>0</v>
      </c>
      <c r="S176" s="741">
        <f t="shared" si="1"/>
        <v>0</v>
      </c>
    </row>
    <row r="177" spans="1:19">
      <c r="A177" s="721"/>
      <c r="B177" s="739"/>
      <c r="C177" s="714"/>
      <c r="D177" s="714"/>
      <c r="E177" s="746"/>
      <c r="F177" s="715"/>
      <c r="G177" s="715"/>
      <c r="H177" s="715"/>
      <c r="I177" s="715"/>
      <c r="J177" s="715"/>
      <c r="K177" s="715"/>
      <c r="L177" s="715"/>
      <c r="M177" s="715"/>
      <c r="N177" s="715"/>
      <c r="O177" s="715"/>
      <c r="P177" s="733"/>
      <c r="Q177" s="741"/>
      <c r="R177" s="741"/>
      <c r="S177" s="741"/>
    </row>
    <row r="178" spans="1:19">
      <c r="A178" s="718" t="s">
        <v>609</v>
      </c>
      <c r="B178" s="718" t="s">
        <v>540</v>
      </c>
      <c r="C178" s="714"/>
      <c r="D178" s="714"/>
      <c r="E178" s="746"/>
      <c r="F178" s="715"/>
      <c r="G178" s="715"/>
      <c r="H178" s="715"/>
      <c r="I178" s="715"/>
      <c r="J178" s="715"/>
      <c r="K178" s="715"/>
      <c r="L178" s="715"/>
      <c r="M178" s="715"/>
      <c r="N178" s="715"/>
      <c r="O178" s="715"/>
      <c r="P178" s="733"/>
      <c r="Q178" s="752">
        <f>Q179+Q182</f>
        <v>0</v>
      </c>
      <c r="R178" s="752">
        <f>R179+R182</f>
        <v>0</v>
      </c>
      <c r="S178" s="741">
        <f t="shared" si="1"/>
        <v>0</v>
      </c>
    </row>
    <row r="179" spans="1:19">
      <c r="A179" s="721"/>
      <c r="B179" s="721" t="s">
        <v>29</v>
      </c>
      <c r="C179" s="714"/>
      <c r="D179" s="714"/>
      <c r="E179" s="746"/>
      <c r="F179" s="715"/>
      <c r="G179" s="715"/>
      <c r="H179" s="715"/>
      <c r="I179" s="715"/>
      <c r="J179" s="715"/>
      <c r="K179" s="715"/>
      <c r="L179" s="715"/>
      <c r="M179" s="715"/>
      <c r="N179" s="715"/>
      <c r="O179" s="715"/>
      <c r="P179" s="733"/>
      <c r="Q179" s="745">
        <f>SUM(Q180:Q181)</f>
        <v>0</v>
      </c>
      <c r="R179" s="745">
        <f>SUM(R180:R181)</f>
        <v>0</v>
      </c>
      <c r="S179" s="741">
        <f t="shared" si="1"/>
        <v>0</v>
      </c>
    </row>
    <row r="180" spans="1:19">
      <c r="A180" s="721"/>
      <c r="B180" s="739"/>
      <c r="C180" s="714">
        <f>'[2]RAB 2.4.14'!F14</f>
        <v>0</v>
      </c>
      <c r="D180" s="714"/>
      <c r="E180" s="746"/>
      <c r="F180" s="715"/>
      <c r="G180" s="715"/>
      <c r="H180" s="715"/>
      <c r="I180" s="715"/>
      <c r="J180" s="715"/>
      <c r="K180" s="715"/>
      <c r="L180" s="715"/>
      <c r="M180" s="715"/>
      <c r="N180" s="715"/>
      <c r="O180" s="715"/>
      <c r="P180" s="733"/>
      <c r="Q180" s="741">
        <v>0</v>
      </c>
      <c r="R180" s="741">
        <v>0</v>
      </c>
      <c r="S180" s="741">
        <f t="shared" si="1"/>
        <v>0</v>
      </c>
    </row>
    <row r="181" spans="1:19">
      <c r="A181" s="721"/>
      <c r="B181" s="739"/>
      <c r="C181" s="714">
        <f>'[2]RAB 2.4.14'!F15</f>
        <v>2</v>
      </c>
      <c r="D181" s="714"/>
      <c r="E181" s="746"/>
      <c r="F181" s="715"/>
      <c r="G181" s="715"/>
      <c r="H181" s="715"/>
      <c r="I181" s="715"/>
      <c r="J181" s="715"/>
      <c r="K181" s="715"/>
      <c r="L181" s="715"/>
      <c r="M181" s="715"/>
      <c r="N181" s="715"/>
      <c r="O181" s="715"/>
      <c r="P181" s="733"/>
      <c r="Q181" s="741">
        <v>0</v>
      </c>
      <c r="R181" s="741">
        <v>0</v>
      </c>
      <c r="S181" s="741">
        <f t="shared" si="1"/>
        <v>0</v>
      </c>
    </row>
    <row r="182" spans="1:19">
      <c r="A182" s="721"/>
      <c r="B182" s="721" t="s">
        <v>60</v>
      </c>
      <c r="C182" s="714"/>
      <c r="D182" s="714"/>
      <c r="E182" s="746"/>
      <c r="F182" s="715"/>
      <c r="G182" s="715"/>
      <c r="H182" s="715"/>
      <c r="I182" s="715"/>
      <c r="J182" s="715"/>
      <c r="K182" s="715"/>
      <c r="L182" s="715"/>
      <c r="M182" s="715"/>
      <c r="N182" s="715"/>
      <c r="O182" s="715"/>
      <c r="P182" s="733"/>
      <c r="Q182" s="745">
        <f>SUM(Q183:Q190)</f>
        <v>0</v>
      </c>
      <c r="R182" s="745">
        <f>SUM(R183:R190)</f>
        <v>0</v>
      </c>
      <c r="S182" s="741">
        <f t="shared" ref="S182:S190" si="2">Q182-R182</f>
        <v>0</v>
      </c>
    </row>
    <row r="183" spans="1:19">
      <c r="A183" s="721"/>
      <c r="B183" s="739"/>
      <c r="C183" s="714" t="str">
        <f>'[2]RAB 2.4.14'!F18</f>
        <v>- Tukang</v>
      </c>
      <c r="D183" s="714"/>
      <c r="E183" s="746"/>
      <c r="F183" s="715"/>
      <c r="G183" s="715"/>
      <c r="H183" s="715"/>
      <c r="I183" s="715"/>
      <c r="J183" s="715"/>
      <c r="K183" s="715"/>
      <c r="L183" s="715"/>
      <c r="M183" s="715"/>
      <c r="N183" s="715"/>
      <c r="O183" s="715"/>
      <c r="P183" s="733"/>
      <c r="Q183" s="741">
        <v>0</v>
      </c>
      <c r="R183" s="741">
        <v>0</v>
      </c>
      <c r="S183" s="741">
        <f t="shared" si="2"/>
        <v>0</v>
      </c>
    </row>
    <row r="184" spans="1:19">
      <c r="A184" s="721"/>
      <c r="B184" s="739"/>
      <c r="C184" s="714">
        <f>'[2]RAB 2.4.14'!F19</f>
        <v>0</v>
      </c>
      <c r="D184" s="714"/>
      <c r="E184" s="746"/>
      <c r="F184" s="715"/>
      <c r="G184" s="715"/>
      <c r="H184" s="715"/>
      <c r="I184" s="715"/>
      <c r="J184" s="715"/>
      <c r="K184" s="715"/>
      <c r="L184" s="715"/>
      <c r="M184" s="715"/>
      <c r="N184" s="715"/>
      <c r="O184" s="715"/>
      <c r="P184" s="733"/>
      <c r="Q184" s="741">
        <v>0</v>
      </c>
      <c r="R184" s="741">
        <v>0</v>
      </c>
      <c r="S184" s="741">
        <f t="shared" si="2"/>
        <v>0</v>
      </c>
    </row>
    <row r="185" spans="1:19">
      <c r="A185" s="721"/>
      <c r="B185" s="739"/>
      <c r="C185" s="714" t="str">
        <f>'[2]RAB 2.4.14'!F20</f>
        <v>Belanja Modal</v>
      </c>
      <c r="D185" s="714"/>
      <c r="E185" s="746"/>
      <c r="F185" s="715"/>
      <c r="G185" s="715"/>
      <c r="H185" s="715"/>
      <c r="I185" s="715"/>
      <c r="J185" s="715"/>
      <c r="K185" s="715"/>
      <c r="L185" s="715"/>
      <c r="M185" s="715"/>
      <c r="N185" s="715"/>
      <c r="O185" s="715"/>
      <c r="P185" s="733"/>
      <c r="Q185" s="741">
        <v>0</v>
      </c>
      <c r="R185" s="741">
        <v>0</v>
      </c>
      <c r="S185" s="741">
        <f t="shared" si="2"/>
        <v>0</v>
      </c>
    </row>
    <row r="186" spans="1:19">
      <c r="A186" s="721"/>
      <c r="B186" s="739"/>
      <c r="C186" s="714" t="str">
        <f>'[2]RAB 2.4.14'!F21</f>
        <v>Pipa Aw 1,5 Inci</v>
      </c>
      <c r="D186" s="714"/>
      <c r="E186" s="746"/>
      <c r="F186" s="715"/>
      <c r="G186" s="715"/>
      <c r="H186" s="715"/>
      <c r="I186" s="715"/>
      <c r="J186" s="715"/>
      <c r="K186" s="715"/>
      <c r="L186" s="715"/>
      <c r="M186" s="715"/>
      <c r="N186" s="715"/>
      <c r="O186" s="715"/>
      <c r="P186" s="733"/>
      <c r="Q186" s="741">
        <v>0</v>
      </c>
      <c r="R186" s="741">
        <v>0</v>
      </c>
      <c r="S186" s="741">
        <f t="shared" si="2"/>
        <v>0</v>
      </c>
    </row>
    <row r="187" spans="1:19">
      <c r="A187" s="721"/>
      <c r="B187" s="739"/>
      <c r="C187" s="714" t="str">
        <f>'[2]RAB 2.4.14'!F22</f>
        <v>Lem Pipa</v>
      </c>
      <c r="D187" s="714"/>
      <c r="E187" s="746"/>
      <c r="F187" s="715"/>
      <c r="G187" s="715"/>
      <c r="H187" s="715"/>
      <c r="I187" s="715"/>
      <c r="J187" s="715"/>
      <c r="K187" s="715"/>
      <c r="L187" s="715"/>
      <c r="M187" s="715"/>
      <c r="N187" s="715"/>
      <c r="O187" s="715"/>
      <c r="P187" s="733"/>
      <c r="Q187" s="741">
        <v>0</v>
      </c>
      <c r="R187" s="741">
        <v>0</v>
      </c>
      <c r="S187" s="741">
        <f t="shared" si="2"/>
        <v>0</v>
      </c>
    </row>
    <row r="188" spans="1:19">
      <c r="A188" s="721"/>
      <c r="B188" s="739"/>
      <c r="C188" s="714" t="str">
        <f>'[2]RAB 2.4.14'!F23</f>
        <v>Semen</v>
      </c>
      <c r="D188" s="714"/>
      <c r="E188" s="746"/>
      <c r="F188" s="715"/>
      <c r="G188" s="715"/>
      <c r="H188" s="715"/>
      <c r="I188" s="715"/>
      <c r="J188" s="715"/>
      <c r="K188" s="715"/>
      <c r="L188" s="715"/>
      <c r="M188" s="715"/>
      <c r="N188" s="715"/>
      <c r="O188" s="715"/>
      <c r="P188" s="733"/>
      <c r="Q188" s="741">
        <v>0</v>
      </c>
      <c r="R188" s="741">
        <v>0</v>
      </c>
      <c r="S188" s="741">
        <f t="shared" si="2"/>
        <v>0</v>
      </c>
    </row>
    <row r="189" spans="1:19">
      <c r="A189" s="721"/>
      <c r="B189" s="739"/>
      <c r="C189" s="714" t="str">
        <f>'[2]RAB 2.4.14'!F24</f>
        <v>Kerikil</v>
      </c>
      <c r="D189" s="714"/>
      <c r="E189" s="746"/>
      <c r="F189" s="715"/>
      <c r="G189" s="715"/>
      <c r="H189" s="715"/>
      <c r="I189" s="715"/>
      <c r="J189" s="715"/>
      <c r="K189" s="715"/>
      <c r="L189" s="715"/>
      <c r="M189" s="715"/>
      <c r="N189" s="715"/>
      <c r="O189" s="715"/>
      <c r="P189" s="733"/>
      <c r="Q189" s="741">
        <v>0</v>
      </c>
      <c r="R189" s="741">
        <v>0</v>
      </c>
      <c r="S189" s="741">
        <f t="shared" si="2"/>
        <v>0</v>
      </c>
    </row>
    <row r="190" spans="1:19">
      <c r="A190" s="721"/>
      <c r="B190" s="739"/>
      <c r="C190" s="714" t="str">
        <f>'[2]RAB 2.4.14'!F25</f>
        <v>Pasir</v>
      </c>
      <c r="D190" s="714"/>
      <c r="E190" s="746"/>
      <c r="F190" s="715"/>
      <c r="G190" s="715"/>
      <c r="H190" s="715"/>
      <c r="I190" s="715"/>
      <c r="J190" s="715"/>
      <c r="K190" s="715"/>
      <c r="L190" s="715"/>
      <c r="M190" s="715"/>
      <c r="N190" s="715"/>
      <c r="O190" s="715"/>
      <c r="P190" s="733"/>
      <c r="Q190" s="741">
        <v>0</v>
      </c>
      <c r="R190" s="741">
        <v>0</v>
      </c>
      <c r="S190" s="741">
        <f t="shared" si="2"/>
        <v>0</v>
      </c>
    </row>
    <row r="191" spans="1:19">
      <c r="A191" s="721"/>
      <c r="B191" s="739"/>
      <c r="C191" s="714"/>
      <c r="D191" s="714"/>
      <c r="E191" s="746"/>
      <c r="F191" s="715"/>
      <c r="G191" s="715"/>
      <c r="H191" s="715"/>
      <c r="I191" s="715"/>
      <c r="J191" s="715"/>
      <c r="K191" s="715"/>
      <c r="L191" s="715"/>
      <c r="M191" s="715"/>
      <c r="N191" s="715"/>
      <c r="O191" s="715"/>
      <c r="P191" s="733"/>
      <c r="Q191" s="741"/>
      <c r="R191" s="741"/>
      <c r="S191" s="741"/>
    </row>
    <row r="192" spans="1:19">
      <c r="A192" s="720"/>
      <c r="B192" s="787" t="s">
        <v>163</v>
      </c>
      <c r="C192" s="788"/>
      <c r="D192" s="788"/>
      <c r="E192" s="788"/>
      <c r="F192" s="788"/>
      <c r="G192" s="788"/>
      <c r="H192" s="788"/>
      <c r="I192" s="788"/>
      <c r="J192" s="788"/>
      <c r="K192" s="788"/>
      <c r="L192" s="788"/>
      <c r="M192" s="788"/>
      <c r="N192" s="788"/>
      <c r="O192" s="788"/>
      <c r="P192" s="789"/>
      <c r="Q192" s="741">
        <f>Q9-Q15</f>
        <v>0</v>
      </c>
      <c r="R192" s="741">
        <f>R9-R15</f>
        <v>0</v>
      </c>
      <c r="S192" s="741">
        <f>Q192-R192</f>
        <v>0</v>
      </c>
    </row>
    <row r="193" spans="1:19">
      <c r="A193" s="243"/>
      <c r="B193" s="243"/>
      <c r="C193" s="243"/>
      <c r="D193" s="243"/>
      <c r="E193" s="243"/>
      <c r="F193" s="243"/>
      <c r="G193" s="243"/>
      <c r="H193" s="243"/>
      <c r="I193" s="243"/>
      <c r="J193" s="243"/>
      <c r="K193" s="243"/>
      <c r="L193" s="243"/>
      <c r="M193" s="243"/>
      <c r="N193" s="243"/>
      <c r="O193" s="243"/>
      <c r="P193" s="243"/>
      <c r="Q193" s="243"/>
      <c r="R193" s="243"/>
      <c r="S193" s="243"/>
    </row>
    <row r="194" spans="1:19">
      <c r="A194" s="243"/>
      <c r="B194" s="243"/>
      <c r="C194" s="243"/>
      <c r="D194" s="243"/>
      <c r="E194" s="243"/>
      <c r="F194" s="243"/>
      <c r="G194" s="243"/>
      <c r="H194" s="243"/>
      <c r="I194" s="243"/>
      <c r="J194" s="243"/>
      <c r="K194" s="243"/>
      <c r="L194" s="243"/>
      <c r="M194" s="243"/>
      <c r="N194" s="243"/>
      <c r="O194" s="243"/>
      <c r="P194" s="243"/>
      <c r="Q194" s="243"/>
      <c r="R194" s="243" t="s">
        <v>635</v>
      </c>
      <c r="S194" s="243"/>
    </row>
    <row r="195" spans="1:19">
      <c r="A195" s="243"/>
      <c r="B195" s="243"/>
      <c r="C195" s="243" t="s">
        <v>636</v>
      </c>
      <c r="D195" s="243"/>
      <c r="E195" s="243"/>
      <c r="F195" s="243"/>
      <c r="G195" s="243"/>
      <c r="H195" s="243"/>
      <c r="I195" s="243"/>
      <c r="J195" s="243"/>
      <c r="K195" s="243"/>
      <c r="L195" s="243"/>
      <c r="M195" s="243"/>
      <c r="N195" s="243"/>
      <c r="O195" s="243"/>
      <c r="P195" s="243"/>
      <c r="Q195" s="243"/>
      <c r="R195" s="243" t="s">
        <v>637</v>
      </c>
      <c r="S195" s="243"/>
    </row>
    <row r="196" spans="1:19">
      <c r="A196" s="243"/>
      <c r="B196" s="243"/>
      <c r="C196" s="243"/>
      <c r="D196" s="243"/>
      <c r="E196" s="243"/>
      <c r="F196" s="243"/>
      <c r="G196" s="243"/>
      <c r="H196" s="243"/>
      <c r="I196" s="243"/>
      <c r="J196" s="243"/>
      <c r="K196" s="243"/>
      <c r="L196" s="243"/>
      <c r="M196" s="243"/>
      <c r="N196" s="243"/>
      <c r="O196" s="243"/>
      <c r="P196" s="243"/>
      <c r="Q196" s="243"/>
      <c r="R196" s="243"/>
      <c r="S196" s="243"/>
    </row>
    <row r="197" spans="1:19">
      <c r="A197" s="243"/>
      <c r="B197" s="243"/>
      <c r="C197" s="243"/>
      <c r="D197" s="243"/>
      <c r="E197" s="243"/>
      <c r="F197" s="243"/>
      <c r="G197" s="243"/>
      <c r="H197" s="243"/>
      <c r="I197" s="243"/>
      <c r="J197" s="243"/>
      <c r="K197" s="243"/>
      <c r="L197" s="243"/>
      <c r="M197" s="243"/>
      <c r="N197" s="243"/>
      <c r="O197" s="243"/>
      <c r="P197" s="243"/>
      <c r="Q197" s="243"/>
      <c r="R197" s="243"/>
      <c r="S197" s="243"/>
    </row>
    <row r="198" spans="1:19">
      <c r="A198" s="243"/>
      <c r="B198" s="243"/>
      <c r="C198" s="243"/>
      <c r="D198" s="243"/>
      <c r="E198" s="243"/>
      <c r="F198" s="243"/>
      <c r="G198" s="243"/>
      <c r="H198" s="243"/>
      <c r="I198" s="243"/>
      <c r="J198" s="243"/>
      <c r="K198" s="243"/>
      <c r="L198" s="243"/>
      <c r="M198" s="243"/>
      <c r="N198" s="243"/>
      <c r="O198" s="243"/>
      <c r="P198" s="243"/>
      <c r="Q198" s="243"/>
      <c r="R198" s="243"/>
      <c r="S198" s="243"/>
    </row>
    <row r="199" spans="1:19">
      <c r="A199" s="243"/>
      <c r="B199" s="243"/>
      <c r="C199" s="243"/>
      <c r="D199" s="243"/>
      <c r="E199" s="243"/>
      <c r="F199" s="243"/>
      <c r="G199" s="243"/>
      <c r="H199" s="243"/>
      <c r="I199" s="243"/>
      <c r="J199" s="243"/>
      <c r="K199" s="243"/>
      <c r="L199" s="243"/>
      <c r="M199" s="243"/>
      <c r="N199" s="243"/>
      <c r="O199" s="243"/>
      <c r="P199" s="243"/>
      <c r="Q199" s="243"/>
      <c r="R199" s="243"/>
      <c r="S199" s="243"/>
    </row>
    <row r="200" spans="1:19">
      <c r="A200" s="243"/>
      <c r="B200" s="243"/>
      <c r="C200" s="753" t="s">
        <v>638</v>
      </c>
      <c r="D200" s="243"/>
      <c r="E200" s="243"/>
      <c r="F200" s="243"/>
      <c r="G200" s="243"/>
      <c r="H200" s="243"/>
      <c r="I200" s="243"/>
      <c r="J200" s="243"/>
      <c r="K200" s="243"/>
      <c r="L200" s="243"/>
      <c r="M200" s="243"/>
      <c r="N200" s="243"/>
      <c r="O200" s="243"/>
      <c r="P200" s="243"/>
      <c r="Q200" s="243"/>
      <c r="R200" s="753" t="s">
        <v>639</v>
      </c>
      <c r="S200" s="243"/>
    </row>
    <row r="201" spans="1:19">
      <c r="A201" s="243"/>
      <c r="B201" s="243"/>
      <c r="C201" s="243"/>
      <c r="D201" s="243"/>
      <c r="E201" s="243"/>
      <c r="F201" s="243"/>
      <c r="G201" s="243"/>
      <c r="H201" s="243"/>
      <c r="I201" s="243"/>
      <c r="J201" s="243"/>
      <c r="K201" s="243"/>
      <c r="L201" s="243"/>
      <c r="M201" s="243"/>
      <c r="N201" s="243"/>
      <c r="O201" s="243"/>
      <c r="P201" s="243"/>
      <c r="Q201" s="243"/>
      <c r="R201" s="243"/>
      <c r="S201" s="243"/>
    </row>
    <row r="202" spans="1:19">
      <c r="A202" s="243"/>
      <c r="B202" s="243"/>
      <c r="C202" s="243"/>
      <c r="D202" s="243"/>
      <c r="E202" s="243"/>
      <c r="F202" s="243"/>
      <c r="G202" s="243"/>
      <c r="H202" s="243"/>
      <c r="I202" s="243"/>
      <c r="J202" s="243"/>
      <c r="K202" s="243"/>
      <c r="L202" s="243"/>
      <c r="M202" s="243"/>
      <c r="N202" s="243"/>
      <c r="O202" s="243"/>
      <c r="P202" s="243"/>
      <c r="Q202" s="243"/>
      <c r="R202" s="243"/>
      <c r="S202" s="243"/>
    </row>
    <row r="203" spans="1:19">
      <c r="A203" s="243"/>
      <c r="B203" s="243"/>
      <c r="C203" s="243"/>
      <c r="D203" s="243"/>
      <c r="E203" s="243"/>
      <c r="F203" s="243"/>
      <c r="G203" s="243"/>
      <c r="H203" s="243"/>
      <c r="I203" s="243"/>
      <c r="J203" s="243"/>
      <c r="K203" s="243"/>
      <c r="L203" s="243"/>
      <c r="M203" s="243"/>
      <c r="N203" s="243"/>
      <c r="O203" s="243"/>
      <c r="P203" s="243"/>
      <c r="Q203" s="243"/>
      <c r="R203" s="243"/>
      <c r="S203" s="243"/>
    </row>
    <row r="204" spans="1:19">
      <c r="A204" s="243"/>
      <c r="B204" s="243"/>
      <c r="C204" s="243"/>
      <c r="D204" s="243"/>
      <c r="E204" s="243"/>
      <c r="F204" s="243"/>
      <c r="G204" s="243"/>
      <c r="H204" s="243"/>
      <c r="I204" s="243"/>
      <c r="J204" s="243"/>
      <c r="K204" s="243"/>
      <c r="L204" s="243"/>
      <c r="M204" s="243"/>
      <c r="N204" s="243"/>
      <c r="O204" s="243"/>
      <c r="P204" s="243"/>
      <c r="Q204" s="243"/>
      <c r="R204" s="243"/>
      <c r="S204" s="243"/>
    </row>
    <row r="205" spans="1:19">
      <c r="A205" s="243"/>
      <c r="B205" s="243"/>
      <c r="C205" s="243"/>
      <c r="D205" s="243"/>
      <c r="E205" s="243"/>
      <c r="F205" s="243"/>
      <c r="G205" s="243"/>
      <c r="H205" s="243"/>
      <c r="I205" s="243"/>
      <c r="J205" s="243"/>
      <c r="K205" s="243"/>
      <c r="L205" s="243"/>
      <c r="M205" s="243"/>
      <c r="N205" s="243"/>
      <c r="O205" s="243"/>
      <c r="P205" s="243"/>
      <c r="Q205" s="243"/>
      <c r="R205" s="243"/>
      <c r="S205" s="243"/>
    </row>
    <row r="206" spans="1:19">
      <c r="A206" s="243"/>
      <c r="B206" s="243"/>
      <c r="C206" s="243"/>
      <c r="D206" s="243"/>
      <c r="E206" s="243"/>
      <c r="F206" s="243"/>
      <c r="G206" s="243"/>
      <c r="H206" s="243"/>
      <c r="I206" s="243"/>
      <c r="J206" s="243"/>
      <c r="K206" s="243"/>
      <c r="L206" s="243"/>
      <c r="M206" s="243"/>
      <c r="N206" s="243"/>
      <c r="O206" s="243"/>
      <c r="P206" s="243"/>
      <c r="Q206" s="243"/>
      <c r="R206" s="243"/>
      <c r="S206" s="243"/>
    </row>
  </sheetData>
  <mergeCells count="67">
    <mergeCell ref="C33:I33"/>
    <mergeCell ref="A1:S1"/>
    <mergeCell ref="A2:S2"/>
    <mergeCell ref="A3:S3"/>
    <mergeCell ref="A6:A7"/>
    <mergeCell ref="B6:P7"/>
    <mergeCell ref="Q6:Q7"/>
    <mergeCell ref="R6:R7"/>
    <mergeCell ref="S6:S7"/>
    <mergeCell ref="B8:P8"/>
    <mergeCell ref="B9:I9"/>
    <mergeCell ref="B10:J10"/>
    <mergeCell ref="B14:I14"/>
    <mergeCell ref="B18:I18"/>
    <mergeCell ref="C55:D55"/>
    <mergeCell ref="C34:I34"/>
    <mergeCell ref="B40:I40"/>
    <mergeCell ref="C41:I41"/>
    <mergeCell ref="C42:I42"/>
    <mergeCell ref="C43:I43"/>
    <mergeCell ref="C44:I44"/>
    <mergeCell ref="C45:I45"/>
    <mergeCell ref="B48:I48"/>
    <mergeCell ref="C49:I49"/>
    <mergeCell ref="C50:I50"/>
    <mergeCell ref="B54:D54"/>
    <mergeCell ref="C85:D85"/>
    <mergeCell ref="B58:D58"/>
    <mergeCell ref="C59:D59"/>
    <mergeCell ref="B65:D65"/>
    <mergeCell ref="C66:D66"/>
    <mergeCell ref="B69:D69"/>
    <mergeCell ref="C72:D72"/>
    <mergeCell ref="C73:D73"/>
    <mergeCell ref="B76:D76"/>
    <mergeCell ref="C79:D79"/>
    <mergeCell ref="C80:D80"/>
    <mergeCell ref="B82:D82"/>
    <mergeCell ref="C139:D139"/>
    <mergeCell ref="C86:D86"/>
    <mergeCell ref="B89:D89"/>
    <mergeCell ref="C92:D92"/>
    <mergeCell ref="C93:D93"/>
    <mergeCell ref="B97:I97"/>
    <mergeCell ref="B127:I127"/>
    <mergeCell ref="C128:I128"/>
    <mergeCell ref="B131:I131"/>
    <mergeCell ref="C132:I132"/>
    <mergeCell ref="C133:I133"/>
    <mergeCell ref="B136:D136"/>
    <mergeCell ref="C163:D163"/>
    <mergeCell ref="C140:D140"/>
    <mergeCell ref="C143:I143"/>
    <mergeCell ref="B146:I146"/>
    <mergeCell ref="C147:D147"/>
    <mergeCell ref="B150:D150"/>
    <mergeCell ref="C152:D152"/>
    <mergeCell ref="B156:D156"/>
    <mergeCell ref="C157:D157"/>
    <mergeCell ref="C158:D158"/>
    <mergeCell ref="B161:D161"/>
    <mergeCell ref="C162:D162"/>
    <mergeCell ref="B170:D170"/>
    <mergeCell ref="C171:D171"/>
    <mergeCell ref="B175:D175"/>
    <mergeCell ref="C176:D176"/>
    <mergeCell ref="B192:P19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W217"/>
  <sheetViews>
    <sheetView topLeftCell="C6" zoomScaleSheetLayoutView="100" workbookViewId="0">
      <selection activeCell="L6" sqref="L6:S6"/>
    </sheetView>
  </sheetViews>
  <sheetFormatPr defaultRowHeight="15"/>
  <cols>
    <col min="1" max="2" width="0" hidden="1" customWidth="1"/>
    <col min="3" max="3" width="2" customWidth="1"/>
    <col min="4" max="4" width="0.85546875" customWidth="1"/>
    <col min="5" max="7" width="2.7109375" customWidth="1"/>
    <col min="8" max="8" width="1.42578125" customWidth="1"/>
    <col min="9" max="9" width="18.85546875" customWidth="1"/>
    <col min="10" max="10" width="1.5703125" hidden="1" customWidth="1"/>
    <col min="11" max="11" width="2.28515625" customWidth="1"/>
    <col min="12" max="14" width="4.7109375" customWidth="1"/>
    <col min="15" max="15" width="4.42578125" customWidth="1"/>
    <col min="16" max="16" width="7.5703125" customWidth="1"/>
    <col min="17" max="17" width="6.85546875" customWidth="1"/>
    <col min="18" max="18" width="13.28515625" customWidth="1"/>
    <col min="19" max="19" width="17.28515625" customWidth="1"/>
    <col min="21" max="21" width="12.85546875" bestFit="1" customWidth="1"/>
    <col min="22" max="22" width="11.28515625" bestFit="1" customWidth="1"/>
  </cols>
  <sheetData>
    <row r="1" spans="1:19" s="247" customFormat="1" ht="18">
      <c r="C1" s="853" t="s">
        <v>6</v>
      </c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5"/>
    </row>
    <row r="2" spans="1:19" s="247" customFormat="1" ht="18">
      <c r="C2" s="869" t="s">
        <v>292</v>
      </c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0"/>
      <c r="R2" s="870"/>
      <c r="S2" s="871"/>
    </row>
    <row r="3" spans="1:19" s="249" customFormat="1" ht="15.75">
      <c r="C3" s="859" t="s">
        <v>211</v>
      </c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1"/>
    </row>
    <row r="4" spans="1:19" s="242" customFormat="1" ht="18.75">
      <c r="A4" s="247"/>
      <c r="B4" s="247"/>
      <c r="C4" s="485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7"/>
    </row>
    <row r="5" spans="1:19" s="243" customFormat="1" ht="12.75">
      <c r="C5" s="370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8"/>
    </row>
    <row r="6" spans="1:19" s="242" customFormat="1" ht="16.5">
      <c r="C6" s="283" t="s">
        <v>7</v>
      </c>
      <c r="D6" s="295" t="s">
        <v>10</v>
      </c>
      <c r="E6" s="295"/>
      <c r="F6" s="295"/>
      <c r="G6" s="295"/>
      <c r="H6" s="295"/>
      <c r="I6" s="286"/>
      <c r="J6" s="286" t="s">
        <v>12</v>
      </c>
      <c r="K6" s="286" t="s">
        <v>12</v>
      </c>
      <c r="L6" s="851" t="s">
        <v>56</v>
      </c>
      <c r="M6" s="851"/>
      <c r="N6" s="851"/>
      <c r="O6" s="851"/>
      <c r="P6" s="851"/>
      <c r="Q6" s="851"/>
      <c r="R6" s="851"/>
      <c r="S6" s="852"/>
    </row>
    <row r="7" spans="1:19" s="242" customFormat="1" ht="16.5">
      <c r="C7" s="283" t="s">
        <v>8</v>
      </c>
      <c r="D7" s="295" t="s">
        <v>11</v>
      </c>
      <c r="E7" s="295"/>
      <c r="F7" s="295"/>
      <c r="G7" s="295"/>
      <c r="H7" s="295"/>
      <c r="I7" s="286"/>
      <c r="J7" s="286" t="s">
        <v>12</v>
      </c>
      <c r="K7" s="286" t="s">
        <v>12</v>
      </c>
      <c r="L7" s="295" t="s">
        <v>375</v>
      </c>
      <c r="M7" s="295"/>
      <c r="N7" s="295"/>
      <c r="O7" s="295"/>
      <c r="P7" s="295"/>
      <c r="Q7" s="295"/>
      <c r="R7" s="295"/>
      <c r="S7" s="296"/>
    </row>
    <row r="8" spans="1:19" s="242" customFormat="1" ht="16.5">
      <c r="C8" s="283" t="s">
        <v>9</v>
      </c>
      <c r="D8" s="295" t="s">
        <v>216</v>
      </c>
      <c r="E8" s="295"/>
      <c r="F8" s="295"/>
      <c r="G8" s="295"/>
      <c r="H8" s="295"/>
      <c r="I8" s="286"/>
      <c r="J8" s="286"/>
      <c r="K8" s="286" t="s">
        <v>231</v>
      </c>
      <c r="L8" s="469" t="s">
        <v>139</v>
      </c>
      <c r="M8" s="469"/>
      <c r="N8" s="469"/>
      <c r="O8" s="469"/>
      <c r="P8" s="469"/>
      <c r="Q8" s="469"/>
      <c r="R8" s="469"/>
      <c r="S8" s="470"/>
    </row>
    <row r="9" spans="1:19" s="242" customFormat="1" ht="16.5">
      <c r="C9" s="297" t="s">
        <v>219</v>
      </c>
      <c r="D9" s="295" t="s">
        <v>229</v>
      </c>
      <c r="E9" s="295"/>
      <c r="F9" s="295"/>
      <c r="G9" s="295"/>
      <c r="H9" s="295"/>
      <c r="I9" s="286"/>
      <c r="J9" s="286"/>
      <c r="K9" s="286" t="s">
        <v>12</v>
      </c>
      <c r="L9" s="655" t="s">
        <v>320</v>
      </c>
      <c r="M9" s="469"/>
      <c r="N9" s="469"/>
      <c r="O9" s="469"/>
      <c r="P9" s="469"/>
      <c r="Q9" s="469"/>
      <c r="R9" s="469"/>
      <c r="S9" s="470"/>
    </row>
    <row r="10" spans="1:19" s="242" customFormat="1" ht="16.5">
      <c r="C10" s="297" t="s">
        <v>228</v>
      </c>
      <c r="D10" s="295" t="s">
        <v>210</v>
      </c>
      <c r="E10" s="295"/>
      <c r="F10" s="295"/>
      <c r="G10" s="295"/>
      <c r="H10" s="295"/>
      <c r="I10" s="286"/>
      <c r="J10" s="286"/>
      <c r="K10" s="286" t="s">
        <v>12</v>
      </c>
      <c r="L10" s="521" t="s">
        <v>562</v>
      </c>
      <c r="M10" s="521"/>
      <c r="N10" s="469"/>
      <c r="O10" s="469"/>
      <c r="P10" s="469"/>
      <c r="Q10" s="469"/>
      <c r="R10" s="469"/>
      <c r="S10" s="470"/>
    </row>
    <row r="11" spans="1:19" s="242" customFormat="1" ht="16.5">
      <c r="C11" s="283" t="s">
        <v>9</v>
      </c>
      <c r="D11" s="295" t="s">
        <v>22</v>
      </c>
      <c r="E11" s="295"/>
      <c r="F11" s="295"/>
      <c r="G11" s="295"/>
      <c r="H11" s="295"/>
      <c r="I11" s="286"/>
      <c r="J11" s="286" t="s">
        <v>12</v>
      </c>
      <c r="K11" s="286" t="s">
        <v>12</v>
      </c>
      <c r="L11" s="890" t="s">
        <v>438</v>
      </c>
      <c r="M11" s="851"/>
      <c r="N11" s="851"/>
      <c r="O11" s="851"/>
      <c r="P11" s="851"/>
      <c r="Q11" s="851"/>
      <c r="R11" s="851"/>
      <c r="S11" s="852"/>
    </row>
    <row r="12" spans="1:19" s="242" customFormat="1" ht="5.25" customHeight="1">
      <c r="C12" s="283"/>
      <c r="D12" s="295"/>
      <c r="E12" s="295"/>
      <c r="F12" s="295"/>
      <c r="G12" s="295"/>
      <c r="H12" s="295"/>
      <c r="I12" s="286"/>
      <c r="J12" s="286"/>
      <c r="K12" s="286"/>
      <c r="L12" s="469"/>
      <c r="M12" s="469"/>
      <c r="N12" s="469"/>
      <c r="O12" s="469"/>
      <c r="P12" s="469"/>
      <c r="Q12" s="469"/>
      <c r="R12" s="469"/>
      <c r="S12" s="470"/>
    </row>
    <row r="13" spans="1:19" s="243" customFormat="1" ht="12.75">
      <c r="C13" s="394" t="s">
        <v>221</v>
      </c>
      <c r="D13" s="430"/>
      <c r="E13" s="430"/>
      <c r="F13" s="430"/>
      <c r="G13" s="430"/>
      <c r="H13" s="430"/>
      <c r="I13" s="382"/>
      <c r="J13" s="382"/>
      <c r="K13" s="382"/>
      <c r="L13" s="397"/>
      <c r="M13" s="397"/>
      <c r="N13" s="397"/>
      <c r="O13" s="397"/>
      <c r="P13" s="397"/>
      <c r="Q13" s="397"/>
      <c r="R13" s="397"/>
      <c r="S13" s="398"/>
    </row>
    <row r="14" spans="1:19" s="242" customFormat="1" ht="3.75" customHeight="1">
      <c r="C14" s="283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5"/>
    </row>
    <row r="15" spans="1:19" s="243" customFormat="1" ht="14.25" customHeight="1">
      <c r="A15" s="370"/>
      <c r="B15" s="371"/>
      <c r="C15" s="775" t="s">
        <v>0</v>
      </c>
      <c r="D15" s="776"/>
      <c r="E15" s="776"/>
      <c r="F15" s="776"/>
      <c r="G15" s="777"/>
      <c r="H15" s="775" t="s">
        <v>1</v>
      </c>
      <c r="I15" s="776"/>
      <c r="J15" s="776"/>
      <c r="K15" s="776"/>
      <c r="L15" s="776"/>
      <c r="M15" s="776"/>
      <c r="N15" s="776"/>
      <c r="O15" s="777"/>
      <c r="P15" s="780" t="s">
        <v>2</v>
      </c>
      <c r="Q15" s="780" t="s">
        <v>47</v>
      </c>
      <c r="R15" s="479" t="s">
        <v>4</v>
      </c>
      <c r="S15" s="780" t="s">
        <v>3</v>
      </c>
    </row>
    <row r="16" spans="1:19" s="243" customFormat="1" ht="14.25" customHeight="1">
      <c r="A16" s="370"/>
      <c r="B16" s="371"/>
      <c r="C16" s="863"/>
      <c r="D16" s="778"/>
      <c r="E16" s="778"/>
      <c r="F16" s="778"/>
      <c r="G16" s="779"/>
      <c r="H16" s="863"/>
      <c r="I16" s="778"/>
      <c r="J16" s="778"/>
      <c r="K16" s="778"/>
      <c r="L16" s="778"/>
      <c r="M16" s="778"/>
      <c r="N16" s="778"/>
      <c r="O16" s="779"/>
      <c r="P16" s="781"/>
      <c r="Q16" s="781"/>
      <c r="R16" s="480" t="s">
        <v>5</v>
      </c>
      <c r="S16" s="781"/>
    </row>
    <row r="17" spans="1:23" s="237" customFormat="1" ht="13.5">
      <c r="A17" s="245"/>
      <c r="B17" s="246"/>
      <c r="C17" s="864">
        <v>1</v>
      </c>
      <c r="D17" s="865"/>
      <c r="E17" s="865"/>
      <c r="F17" s="865"/>
      <c r="G17" s="866"/>
      <c r="H17" s="476"/>
      <c r="I17" s="477">
        <v>2</v>
      </c>
      <c r="J17" s="477"/>
      <c r="K17" s="477"/>
      <c r="L17" s="477"/>
      <c r="M17" s="477"/>
      <c r="N17" s="477"/>
      <c r="O17" s="478"/>
      <c r="P17" s="239">
        <v>3</v>
      </c>
      <c r="Q17" s="239"/>
      <c r="R17" s="239">
        <v>4</v>
      </c>
      <c r="S17" s="239">
        <v>5</v>
      </c>
    </row>
    <row r="18" spans="1:23" s="242" customFormat="1" ht="15" customHeight="1">
      <c r="A18" s="283"/>
      <c r="B18" s="284"/>
      <c r="C18" s="876">
        <v>2</v>
      </c>
      <c r="D18" s="876"/>
      <c r="E18" s="492">
        <v>2</v>
      </c>
      <c r="F18" s="492">
        <v>3</v>
      </c>
      <c r="G18" s="492">
        <v>2</v>
      </c>
      <c r="H18" s="432" t="s">
        <v>14</v>
      </c>
      <c r="I18" s="862" t="s">
        <v>48</v>
      </c>
      <c r="J18" s="862"/>
      <c r="K18" s="862"/>
      <c r="L18" s="379"/>
      <c r="M18" s="379"/>
      <c r="N18" s="379"/>
      <c r="O18" s="433"/>
      <c r="P18" s="256"/>
      <c r="Q18" s="256"/>
      <c r="R18" s="256"/>
      <c r="S18" s="308">
        <f>SUM(S19)</f>
        <v>40616000</v>
      </c>
    </row>
    <row r="19" spans="1:23" s="242" customFormat="1" ht="15" customHeight="1">
      <c r="A19" s="283"/>
      <c r="B19" s="284"/>
      <c r="C19" s="875"/>
      <c r="D19" s="875"/>
      <c r="E19" s="491"/>
      <c r="F19" s="491"/>
      <c r="G19" s="491"/>
      <c r="H19" s="447" t="s">
        <v>14</v>
      </c>
      <c r="I19" s="260" t="s">
        <v>457</v>
      </c>
      <c r="J19" s="260"/>
      <c r="K19" s="265"/>
      <c r="L19" s="265"/>
      <c r="M19" s="265"/>
      <c r="N19" s="265"/>
      <c r="O19" s="490"/>
      <c r="P19" s="491"/>
      <c r="Q19" s="491"/>
      <c r="R19" s="267">
        <v>0</v>
      </c>
      <c r="S19" s="267">
        <f>SUM(S20:S21)</f>
        <v>40616000</v>
      </c>
      <c r="U19" s="311"/>
      <c r="V19" s="514"/>
      <c r="W19" s="282"/>
    </row>
    <row r="20" spans="1:23" s="242" customFormat="1" ht="15" customHeight="1">
      <c r="A20" s="283"/>
      <c r="B20" s="284"/>
      <c r="C20" s="875"/>
      <c r="D20" s="875"/>
      <c r="E20" s="491"/>
      <c r="F20" s="491"/>
      <c r="G20" s="491"/>
      <c r="H20" s="447"/>
      <c r="I20" s="323" t="s">
        <v>203</v>
      </c>
      <c r="J20" s="260"/>
      <c r="K20" s="265"/>
      <c r="L20" s="265"/>
      <c r="M20" s="265"/>
      <c r="N20" s="265"/>
      <c r="O20" s="490"/>
      <c r="P20" s="522">
        <v>482.6</v>
      </c>
      <c r="Q20" s="491" t="s">
        <v>282</v>
      </c>
      <c r="R20" s="267">
        <v>70000</v>
      </c>
      <c r="S20" s="267">
        <f>P20*R20</f>
        <v>33782000</v>
      </c>
      <c r="U20" s="311"/>
    </row>
    <row r="21" spans="1:23" s="242" customFormat="1" ht="15" customHeight="1">
      <c r="A21" s="283"/>
      <c r="B21" s="284"/>
      <c r="C21" s="875"/>
      <c r="D21" s="875"/>
      <c r="E21" s="491"/>
      <c r="F21" s="491"/>
      <c r="G21" s="491"/>
      <c r="H21" s="489"/>
      <c r="I21" s="260" t="s">
        <v>58</v>
      </c>
      <c r="J21" s="260"/>
      <c r="K21" s="260"/>
      <c r="L21" s="260"/>
      <c r="M21" s="260"/>
      <c r="N21" s="260"/>
      <c r="O21" s="262"/>
      <c r="P21" s="522">
        <v>80.400000000000006</v>
      </c>
      <c r="Q21" s="491" t="s">
        <v>282</v>
      </c>
      <c r="R21" s="267">
        <v>85000</v>
      </c>
      <c r="S21" s="267">
        <f t="shared" ref="S21" si="0">P21*R21</f>
        <v>6834000.0000000009</v>
      </c>
      <c r="W21" s="515"/>
    </row>
    <row r="22" spans="1:23" s="242" customFormat="1" ht="15" customHeight="1">
      <c r="A22" s="283"/>
      <c r="B22" s="284"/>
      <c r="C22" s="326"/>
      <c r="D22" s="331"/>
      <c r="E22" s="327"/>
      <c r="F22" s="327"/>
      <c r="G22" s="327"/>
      <c r="H22" s="326"/>
      <c r="I22" s="329"/>
      <c r="J22" s="329"/>
      <c r="K22" s="329"/>
      <c r="L22" s="329"/>
      <c r="M22" s="329"/>
      <c r="N22" s="329"/>
      <c r="O22" s="467"/>
      <c r="P22" s="327"/>
      <c r="Q22" s="327"/>
      <c r="R22" s="332"/>
      <c r="S22" s="332"/>
      <c r="W22" s="515"/>
    </row>
    <row r="23" spans="1:23" s="242" customFormat="1" ht="15" customHeight="1">
      <c r="A23" s="283"/>
      <c r="B23" s="284"/>
      <c r="C23" s="326"/>
      <c r="D23" s="331"/>
      <c r="E23" s="327"/>
      <c r="F23" s="327"/>
      <c r="G23" s="327"/>
      <c r="H23" s="326"/>
      <c r="I23" s="329"/>
      <c r="J23" s="329"/>
      <c r="K23" s="329"/>
      <c r="L23" s="329"/>
      <c r="M23" s="329"/>
      <c r="N23" s="329"/>
      <c r="O23" s="467"/>
      <c r="P23" s="327"/>
      <c r="Q23" s="327"/>
      <c r="R23" s="332">
        <v>0</v>
      </c>
      <c r="S23" s="332"/>
      <c r="U23" s="271"/>
      <c r="W23" s="515"/>
    </row>
    <row r="24" spans="1:23" s="242" customFormat="1" ht="15" customHeight="1">
      <c r="A24" s="283"/>
      <c r="B24" s="284"/>
      <c r="C24" s="875">
        <v>2</v>
      </c>
      <c r="D24" s="875"/>
      <c r="E24" s="491">
        <v>2</v>
      </c>
      <c r="F24" s="491">
        <v>3</v>
      </c>
      <c r="G24" s="491">
        <v>3</v>
      </c>
      <c r="H24" s="516" t="s">
        <v>14</v>
      </c>
      <c r="I24" s="517" t="s">
        <v>60</v>
      </c>
      <c r="J24" s="329"/>
      <c r="K24" s="329"/>
      <c r="L24" s="329"/>
      <c r="M24" s="329"/>
      <c r="N24" s="329"/>
      <c r="O24" s="467"/>
      <c r="P24" s="327"/>
      <c r="Q24" s="327"/>
      <c r="R24" s="332">
        <v>0</v>
      </c>
      <c r="S24" s="518">
        <f>SUM(S25)</f>
        <v>217082500</v>
      </c>
      <c r="U24" s="282"/>
      <c r="W24" s="515"/>
    </row>
    <row r="25" spans="1:23" s="242" customFormat="1" ht="15" customHeight="1">
      <c r="A25" s="283"/>
      <c r="B25" s="284"/>
      <c r="C25" s="326"/>
      <c r="D25" s="331"/>
      <c r="E25" s="327"/>
      <c r="F25" s="327"/>
      <c r="G25" s="327"/>
      <c r="H25" s="516"/>
      <c r="I25" s="329" t="s">
        <v>459</v>
      </c>
      <c r="J25" s="329"/>
      <c r="K25" s="329"/>
      <c r="L25" s="329"/>
      <c r="M25" s="329"/>
      <c r="N25" s="329"/>
      <c r="O25" s="467"/>
      <c r="P25" s="327"/>
      <c r="Q25" s="327"/>
      <c r="R25" s="332"/>
      <c r="S25" s="332">
        <f>SUM(S26:S36)</f>
        <v>217082500</v>
      </c>
      <c r="U25" s="282"/>
      <c r="W25" s="515"/>
    </row>
    <row r="26" spans="1:23" s="242" customFormat="1" ht="15" customHeight="1">
      <c r="A26" s="283"/>
      <c r="B26" s="284"/>
      <c r="C26" s="326"/>
      <c r="D26" s="331"/>
      <c r="E26" s="327"/>
      <c r="F26" s="327"/>
      <c r="G26" s="327"/>
      <c r="H26" s="516"/>
      <c r="I26" s="329" t="s">
        <v>376</v>
      </c>
      <c r="J26" s="329"/>
      <c r="K26" s="329"/>
      <c r="L26" s="329"/>
      <c r="M26" s="329"/>
      <c r="N26" s="329"/>
      <c r="O26" s="467"/>
      <c r="P26" s="523">
        <v>158</v>
      </c>
      <c r="Q26" s="327" t="s">
        <v>182</v>
      </c>
      <c r="R26" s="332">
        <v>195000</v>
      </c>
      <c r="S26" s="332">
        <f>P26*R26</f>
        <v>30810000</v>
      </c>
      <c r="W26" s="515"/>
    </row>
    <row r="27" spans="1:23" s="242" customFormat="1" ht="15" customHeight="1">
      <c r="A27" s="283"/>
      <c r="B27" s="284"/>
      <c r="C27" s="326"/>
      <c r="D27" s="331"/>
      <c r="E27" s="327"/>
      <c r="F27" s="327"/>
      <c r="G27" s="327"/>
      <c r="H27" s="516"/>
      <c r="I27" s="329" t="s">
        <v>377</v>
      </c>
      <c r="J27" s="329"/>
      <c r="K27" s="329"/>
      <c r="L27" s="329"/>
      <c r="M27" s="329"/>
      <c r="N27" s="329"/>
      <c r="O27" s="467"/>
      <c r="P27" s="523">
        <v>1907.1</v>
      </c>
      <c r="Q27" s="327" t="s">
        <v>63</v>
      </c>
      <c r="R27" s="332">
        <v>67000</v>
      </c>
      <c r="S27" s="332">
        <f>P27*R27</f>
        <v>127775700</v>
      </c>
      <c r="U27" s="311"/>
      <c r="W27" s="515"/>
    </row>
    <row r="28" spans="1:23" s="242" customFormat="1" ht="15" customHeight="1">
      <c r="A28" s="283"/>
      <c r="B28" s="284"/>
      <c r="C28" s="326"/>
      <c r="D28" s="331"/>
      <c r="E28" s="327"/>
      <c r="F28" s="327"/>
      <c r="G28" s="327"/>
      <c r="H28" s="516"/>
      <c r="I28" s="329" t="s">
        <v>378</v>
      </c>
      <c r="J28" s="329"/>
      <c r="K28" s="329"/>
      <c r="L28" s="329"/>
      <c r="M28" s="329"/>
      <c r="N28" s="329"/>
      <c r="O28" s="467"/>
      <c r="P28" s="523">
        <v>222.3</v>
      </c>
      <c r="Q28" s="327" t="s">
        <v>182</v>
      </c>
      <c r="R28" s="332">
        <v>225000</v>
      </c>
      <c r="S28" s="332">
        <f t="shared" ref="S28:S36" si="1">P28*R28</f>
        <v>50017500</v>
      </c>
      <c r="U28" s="311"/>
      <c r="W28" s="515"/>
    </row>
    <row r="29" spans="1:23" s="242" customFormat="1" ht="15" customHeight="1">
      <c r="A29" s="283"/>
      <c r="B29" s="284"/>
      <c r="C29" s="326"/>
      <c r="D29" s="331"/>
      <c r="E29" s="327"/>
      <c r="F29" s="327"/>
      <c r="G29" s="327"/>
      <c r="H29" s="516"/>
      <c r="I29" s="329" t="s">
        <v>379</v>
      </c>
      <c r="J29" s="329"/>
      <c r="K29" s="329"/>
      <c r="L29" s="329"/>
      <c r="M29" s="329"/>
      <c r="N29" s="329"/>
      <c r="O29" s="467"/>
      <c r="P29" s="523">
        <v>15</v>
      </c>
      <c r="Q29" s="327" t="s">
        <v>297</v>
      </c>
      <c r="R29" s="332">
        <v>28000</v>
      </c>
      <c r="S29" s="332">
        <f t="shared" si="1"/>
        <v>420000</v>
      </c>
      <c r="W29" s="515"/>
    </row>
    <row r="30" spans="1:23" s="242" customFormat="1" ht="15" customHeight="1">
      <c r="A30" s="283"/>
      <c r="B30" s="284"/>
      <c r="C30" s="326"/>
      <c r="D30" s="331"/>
      <c r="E30" s="327"/>
      <c r="F30" s="327"/>
      <c r="G30" s="327"/>
      <c r="H30" s="516"/>
      <c r="I30" s="329" t="s">
        <v>380</v>
      </c>
      <c r="J30" s="329"/>
      <c r="K30" s="329"/>
      <c r="L30" s="329"/>
      <c r="M30" s="329"/>
      <c r="N30" s="329"/>
      <c r="O30" s="467"/>
      <c r="P30" s="523">
        <v>63000</v>
      </c>
      <c r="Q30" s="327" t="s">
        <v>182</v>
      </c>
      <c r="R30" s="332">
        <v>100</v>
      </c>
      <c r="S30" s="332">
        <f t="shared" si="1"/>
        <v>6300000</v>
      </c>
      <c r="U30" s="311"/>
      <c r="W30" s="515"/>
    </row>
    <row r="31" spans="1:23" s="242" customFormat="1" ht="15" customHeight="1">
      <c r="A31" s="283"/>
      <c r="B31" s="284"/>
      <c r="C31" s="326"/>
      <c r="D31" s="331"/>
      <c r="E31" s="327"/>
      <c r="F31" s="327"/>
      <c r="G31" s="327"/>
      <c r="H31" s="516"/>
      <c r="I31" s="329" t="s">
        <v>381</v>
      </c>
      <c r="J31" s="329"/>
      <c r="K31" s="329"/>
      <c r="L31" s="329"/>
      <c r="M31" s="329"/>
      <c r="N31" s="329"/>
      <c r="O31" s="467"/>
      <c r="P31" s="523">
        <v>2</v>
      </c>
      <c r="Q31" s="327" t="s">
        <v>55</v>
      </c>
      <c r="R31" s="332">
        <v>400000</v>
      </c>
      <c r="S31" s="332">
        <f t="shared" si="1"/>
        <v>800000</v>
      </c>
      <c r="W31" s="515"/>
    </row>
    <row r="32" spans="1:23" s="242" customFormat="1" ht="15" customHeight="1">
      <c r="A32" s="283"/>
      <c r="B32" s="284"/>
      <c r="C32" s="326"/>
      <c r="D32" s="331"/>
      <c r="E32" s="327"/>
      <c r="F32" s="327"/>
      <c r="G32" s="327"/>
      <c r="H32" s="326"/>
      <c r="I32" s="329" t="s">
        <v>382</v>
      </c>
      <c r="J32" s="329"/>
      <c r="K32" s="329"/>
      <c r="L32" s="329"/>
      <c r="M32" s="329"/>
      <c r="N32" s="329"/>
      <c r="O32" s="467"/>
      <c r="P32" s="523">
        <v>5</v>
      </c>
      <c r="Q32" s="327" t="s">
        <v>55</v>
      </c>
      <c r="R32" s="332">
        <v>65000</v>
      </c>
      <c r="S32" s="332">
        <f t="shared" si="1"/>
        <v>325000</v>
      </c>
      <c r="W32" s="515"/>
    </row>
    <row r="33" spans="1:23" s="242" customFormat="1" ht="15" customHeight="1">
      <c r="A33" s="283"/>
      <c r="B33" s="284"/>
      <c r="C33" s="489"/>
      <c r="D33" s="490"/>
      <c r="E33" s="327"/>
      <c r="F33" s="327"/>
      <c r="G33" s="327"/>
      <c r="H33" s="326"/>
      <c r="I33" s="329" t="s">
        <v>383</v>
      </c>
      <c r="J33" s="329"/>
      <c r="K33" s="329"/>
      <c r="L33" s="329"/>
      <c r="M33" s="329"/>
      <c r="N33" s="329"/>
      <c r="O33" s="467"/>
      <c r="P33" s="523">
        <v>6</v>
      </c>
      <c r="Q33" s="327" t="s">
        <v>55</v>
      </c>
      <c r="R33" s="332">
        <v>12000</v>
      </c>
      <c r="S33" s="332">
        <f t="shared" si="1"/>
        <v>72000</v>
      </c>
      <c r="W33" s="515"/>
    </row>
    <row r="34" spans="1:23" s="242" customFormat="1" ht="15" customHeight="1">
      <c r="A34" s="283"/>
      <c r="B34" s="284"/>
      <c r="C34" s="326"/>
      <c r="D34" s="331"/>
      <c r="E34" s="327"/>
      <c r="F34" s="327"/>
      <c r="G34" s="327"/>
      <c r="H34" s="326"/>
      <c r="I34" s="329" t="s">
        <v>384</v>
      </c>
      <c r="J34" s="329"/>
      <c r="K34" s="329"/>
      <c r="L34" s="329"/>
      <c r="M34" s="329"/>
      <c r="N34" s="329"/>
      <c r="O34" s="467"/>
      <c r="P34" s="523">
        <v>1</v>
      </c>
      <c r="Q34" s="327" t="s">
        <v>55</v>
      </c>
      <c r="R34" s="332">
        <v>100000</v>
      </c>
      <c r="S34" s="332">
        <f t="shared" si="1"/>
        <v>100000</v>
      </c>
      <c r="W34" s="515"/>
    </row>
    <row r="35" spans="1:23" s="242" customFormat="1" ht="15" customHeight="1">
      <c r="A35" s="283"/>
      <c r="B35" s="284"/>
      <c r="C35" s="489"/>
      <c r="D35" s="490"/>
      <c r="E35" s="491"/>
      <c r="F35" s="491"/>
      <c r="G35" s="491"/>
      <c r="H35" s="489"/>
      <c r="I35" s="260" t="s">
        <v>385</v>
      </c>
      <c r="J35" s="260"/>
      <c r="K35" s="260"/>
      <c r="L35" s="260"/>
      <c r="M35" s="260"/>
      <c r="N35" s="260"/>
      <c r="O35" s="262"/>
      <c r="P35" s="317">
        <v>2</v>
      </c>
      <c r="Q35" s="491" t="s">
        <v>386</v>
      </c>
      <c r="R35" s="267">
        <v>6150</v>
      </c>
      <c r="S35" s="267">
        <f t="shared" si="1"/>
        <v>12300</v>
      </c>
      <c r="W35" s="515"/>
    </row>
    <row r="36" spans="1:23" s="242" customFormat="1" ht="15" customHeight="1">
      <c r="A36" s="283"/>
      <c r="B36" s="284"/>
      <c r="C36" s="489"/>
      <c r="D36" s="490"/>
      <c r="E36" s="491"/>
      <c r="F36" s="491"/>
      <c r="G36" s="491"/>
      <c r="H36" s="489"/>
      <c r="I36" s="260" t="s">
        <v>569</v>
      </c>
      <c r="J36" s="260"/>
      <c r="K36" s="260"/>
      <c r="L36" s="260"/>
      <c r="M36" s="260"/>
      <c r="N36" s="260"/>
      <c r="O36" s="262"/>
      <c r="P36" s="317">
        <v>1</v>
      </c>
      <c r="Q36" s="491" t="s">
        <v>435</v>
      </c>
      <c r="R36" s="267">
        <v>450000</v>
      </c>
      <c r="S36" s="267">
        <f t="shared" si="1"/>
        <v>450000</v>
      </c>
      <c r="W36" s="515"/>
    </row>
    <row r="37" spans="1:23" s="242" customFormat="1" ht="9" customHeight="1">
      <c r="A37" s="283"/>
      <c r="B37" s="284"/>
      <c r="C37" s="489"/>
      <c r="D37" s="490"/>
      <c r="E37" s="491"/>
      <c r="F37" s="491"/>
      <c r="G37" s="491"/>
      <c r="H37" s="489"/>
      <c r="I37" s="260"/>
      <c r="J37" s="260"/>
      <c r="K37" s="260"/>
      <c r="L37" s="260"/>
      <c r="M37" s="260"/>
      <c r="N37" s="260"/>
      <c r="O37" s="262"/>
      <c r="P37" s="524"/>
      <c r="Q37" s="491"/>
      <c r="R37" s="267"/>
      <c r="S37" s="267"/>
      <c r="W37" s="515"/>
    </row>
    <row r="38" spans="1:23" s="242" customFormat="1" ht="15" customHeight="1">
      <c r="A38" s="283"/>
      <c r="B38" s="284"/>
      <c r="C38" s="889"/>
      <c r="D38" s="889"/>
      <c r="E38" s="426"/>
      <c r="F38" s="426"/>
      <c r="G38" s="426"/>
      <c r="H38" s="760" t="s">
        <v>163</v>
      </c>
      <c r="I38" s="761"/>
      <c r="J38" s="761"/>
      <c r="K38" s="761"/>
      <c r="L38" s="761"/>
      <c r="M38" s="761"/>
      <c r="N38" s="761"/>
      <c r="O38" s="764"/>
      <c r="P38" s="442"/>
      <c r="Q38" s="442"/>
      <c r="R38" s="428"/>
      <c r="S38" s="429">
        <f>SUM(S18+S24)</f>
        <v>257698500</v>
      </c>
    </row>
    <row r="39" spans="1:23" s="242" customFormat="1" ht="16.5">
      <c r="A39" s="283"/>
      <c r="B39" s="284"/>
      <c r="C39" s="351"/>
      <c r="D39" s="286"/>
      <c r="E39" s="286"/>
      <c r="F39" s="286"/>
      <c r="G39" s="286"/>
      <c r="H39" s="455"/>
      <c r="I39" s="455"/>
      <c r="J39" s="455"/>
      <c r="K39" s="284"/>
      <c r="L39" s="284"/>
      <c r="M39" s="284"/>
      <c r="N39" s="284"/>
      <c r="O39" s="284"/>
      <c r="P39" s="284"/>
      <c r="Q39" s="284"/>
      <c r="R39" s="352"/>
      <c r="S39" s="353"/>
    </row>
    <row r="40" spans="1:23" s="242" customFormat="1" ht="16.5">
      <c r="A40" s="283"/>
      <c r="B40" s="284"/>
      <c r="C40" s="351"/>
      <c r="D40" s="286"/>
      <c r="E40" s="286"/>
      <c r="F40" s="286"/>
      <c r="G40" s="286"/>
      <c r="H40" s="455"/>
      <c r="I40" s="455"/>
      <c r="J40" s="455"/>
      <c r="K40" s="284"/>
      <c r="L40" s="284"/>
      <c r="M40" s="284"/>
      <c r="N40" s="284"/>
      <c r="O40" s="284"/>
      <c r="P40" s="284"/>
      <c r="Q40" s="284"/>
      <c r="R40" s="352"/>
      <c r="S40" s="353"/>
    </row>
    <row r="41" spans="1:23" s="242" customFormat="1" ht="16.5">
      <c r="A41" s="283"/>
      <c r="B41" s="284"/>
      <c r="C41" s="283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 t="s">
        <v>556</v>
      </c>
      <c r="S41" s="285"/>
    </row>
    <row r="42" spans="1:23" s="242" customFormat="1" ht="16.5">
      <c r="A42" s="283"/>
      <c r="B42" s="284"/>
      <c r="C42" s="283"/>
      <c r="D42" s="284"/>
      <c r="E42" s="284"/>
      <c r="F42" s="284"/>
      <c r="G42" s="284"/>
      <c r="H42" s="284"/>
      <c r="I42" s="286" t="s">
        <v>168</v>
      </c>
      <c r="J42" s="284"/>
      <c r="K42" s="284"/>
      <c r="L42" s="284"/>
      <c r="M42" s="284"/>
      <c r="N42" s="284"/>
      <c r="O42" s="284"/>
      <c r="P42" s="284"/>
      <c r="Q42" s="284"/>
      <c r="R42" s="469" t="s">
        <v>193</v>
      </c>
      <c r="S42" s="285"/>
    </row>
    <row r="43" spans="1:23" s="242" customFormat="1" ht="16.5">
      <c r="A43" s="283"/>
      <c r="B43" s="284"/>
      <c r="C43" s="283"/>
      <c r="D43" s="284"/>
      <c r="E43" s="284"/>
      <c r="F43" s="284"/>
      <c r="G43" s="284"/>
      <c r="H43" s="284"/>
      <c r="I43" s="286" t="s">
        <v>298</v>
      </c>
      <c r="J43" s="284"/>
      <c r="K43" s="284"/>
      <c r="L43" s="284"/>
      <c r="M43" s="284"/>
      <c r="N43" s="284"/>
      <c r="O43" s="284"/>
      <c r="P43" s="284"/>
      <c r="Q43" s="284"/>
      <c r="R43" s="284"/>
      <c r="S43" s="285"/>
    </row>
    <row r="44" spans="1:23" s="242" customFormat="1" ht="16.5">
      <c r="A44" s="283"/>
      <c r="B44" s="284"/>
      <c r="C44" s="283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5"/>
    </row>
    <row r="45" spans="1:23" s="242" customFormat="1" ht="16.5">
      <c r="A45" s="283"/>
      <c r="B45" s="284"/>
      <c r="C45" s="283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5"/>
    </row>
    <row r="46" spans="1:23" s="242" customFormat="1" ht="16.5">
      <c r="A46" s="283"/>
      <c r="B46" s="284"/>
      <c r="C46" s="283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5"/>
    </row>
    <row r="47" spans="1:23" s="242" customFormat="1" ht="16.5">
      <c r="A47" s="283"/>
      <c r="B47" s="284"/>
      <c r="C47" s="283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5"/>
    </row>
    <row r="48" spans="1:23" s="242" customFormat="1" ht="16.5">
      <c r="A48" s="283"/>
      <c r="B48" s="284"/>
      <c r="C48" s="283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5"/>
    </row>
    <row r="49" spans="1:19" s="242" customFormat="1" ht="16.5">
      <c r="A49" s="283"/>
      <c r="B49" s="284"/>
      <c r="C49" s="283"/>
      <c r="D49" s="284"/>
      <c r="E49" s="284"/>
      <c r="F49" s="284"/>
      <c r="G49" s="284"/>
      <c r="H49" s="284"/>
      <c r="I49" s="303" t="s">
        <v>304</v>
      </c>
      <c r="J49" s="284"/>
      <c r="K49" s="284"/>
      <c r="L49" s="284"/>
      <c r="M49" s="284"/>
      <c r="N49" s="284"/>
      <c r="O49" s="284"/>
      <c r="P49" s="284"/>
      <c r="Q49" s="284"/>
      <c r="R49" s="381" t="s">
        <v>305</v>
      </c>
      <c r="S49" s="285"/>
    </row>
    <row r="50" spans="1:19" s="242" customFormat="1" ht="16.5">
      <c r="A50" s="287"/>
      <c r="B50" s="288"/>
      <c r="C50" s="287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9"/>
    </row>
    <row r="51" spans="1:19" s="242" customFormat="1" ht="16.5"/>
    <row r="52" spans="1:19" s="242" customFormat="1" ht="16.5"/>
    <row r="53" spans="1:19" s="242" customFormat="1" ht="16.5"/>
    <row r="54" spans="1:19" s="242" customFormat="1" ht="16.5"/>
    <row r="55" spans="1:19" s="242" customFormat="1" ht="16.5"/>
    <row r="56" spans="1:19" s="242" customFormat="1" ht="16.5"/>
    <row r="57" spans="1:19" s="242" customFormat="1" ht="16.5"/>
    <row r="58" spans="1:19" s="242" customFormat="1" ht="16.5"/>
    <row r="59" spans="1:19" s="242" customFormat="1" ht="16.5"/>
    <row r="60" spans="1:19" s="242" customFormat="1" ht="16.5"/>
    <row r="61" spans="1:19" s="242" customFormat="1" ht="16.5"/>
    <row r="62" spans="1:19" s="242" customFormat="1" ht="16.5"/>
    <row r="63" spans="1:19" s="242" customFormat="1" ht="16.5"/>
    <row r="64" spans="1:19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  <row r="193" s="242" customFormat="1" ht="16.5"/>
    <row r="194" s="242" customFormat="1" ht="16.5"/>
    <row r="195" s="242" customFormat="1" ht="16.5"/>
    <row r="196" s="242" customFormat="1" ht="16.5"/>
    <row r="197" s="242" customFormat="1" ht="16.5"/>
    <row r="198" s="242" customFormat="1" ht="16.5"/>
    <row r="199" s="242" customFormat="1" ht="16.5"/>
    <row r="200" s="242" customFormat="1" ht="16.5"/>
    <row r="201" s="242" customFormat="1" ht="16.5"/>
    <row r="202" s="242" customFormat="1" ht="16.5"/>
    <row r="203" s="242" customFormat="1" ht="16.5"/>
    <row r="204" s="242" customFormat="1" ht="16.5"/>
    <row r="205" s="242" customFormat="1" ht="16.5"/>
    <row r="206" s="242" customFormat="1" ht="16.5"/>
    <row r="207" s="242" customFormat="1" ht="16.5"/>
    <row r="208" s="242" customFormat="1" ht="16.5"/>
    <row r="209" s="242" customFormat="1" ht="16.5"/>
    <row r="210" s="242" customFormat="1" ht="16.5"/>
    <row r="211" s="242" customFormat="1" ht="16.5"/>
    <row r="212" s="242" customFormat="1" ht="16.5"/>
    <row r="213" s="242" customFormat="1" ht="16.5"/>
    <row r="214" s="28" customFormat="1"/>
    <row r="215" s="28" customFormat="1"/>
    <row r="216" s="28" customFormat="1"/>
    <row r="217" s="28" customFormat="1"/>
  </sheetData>
  <mergeCells count="19">
    <mergeCell ref="C38:D38"/>
    <mergeCell ref="H38:O38"/>
    <mergeCell ref="C18:D18"/>
    <mergeCell ref="I18:K18"/>
    <mergeCell ref="C19:D19"/>
    <mergeCell ref="C20:D20"/>
    <mergeCell ref="C21:D21"/>
    <mergeCell ref="C24:D24"/>
    <mergeCell ref="C17:G17"/>
    <mergeCell ref="C1:S1"/>
    <mergeCell ref="C2:S2"/>
    <mergeCell ref="C3:S3"/>
    <mergeCell ref="L6:S6"/>
    <mergeCell ref="L11:S11"/>
    <mergeCell ref="C15:G16"/>
    <mergeCell ref="H15:O16"/>
    <mergeCell ref="P15:P16"/>
    <mergeCell ref="Q15:Q16"/>
    <mergeCell ref="S15:S16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1"/>
  </sheetPr>
  <dimension ref="A1:U312"/>
  <sheetViews>
    <sheetView view="pageBreakPreview" topLeftCell="C13" zoomScaleSheetLayoutView="100" workbookViewId="0">
      <selection activeCell="R23" sqref="R23"/>
    </sheetView>
  </sheetViews>
  <sheetFormatPr defaultRowHeight="15"/>
  <cols>
    <col min="1" max="2" width="0" hidden="1" customWidth="1"/>
    <col min="3" max="3" width="2" customWidth="1"/>
    <col min="4" max="4" width="0.7109375" customWidth="1"/>
    <col min="5" max="5" width="2.42578125" customWidth="1"/>
    <col min="6" max="6" width="2.7109375" customWidth="1"/>
    <col min="7" max="7" width="2.42578125" customWidth="1"/>
    <col min="8" max="8" width="2" customWidth="1"/>
    <col min="9" max="9" width="18.85546875" customWidth="1"/>
    <col min="10" max="10" width="1.5703125" hidden="1" customWidth="1"/>
    <col min="11" max="11" width="2.42578125" customWidth="1"/>
    <col min="12" max="15" width="5" customWidth="1"/>
    <col min="16" max="16" width="8.42578125" customWidth="1"/>
    <col min="17" max="17" width="8.140625" customWidth="1"/>
    <col min="18" max="18" width="15" customWidth="1"/>
    <col min="19" max="19" width="16.28515625" customWidth="1"/>
    <col min="21" max="21" width="12.28515625" bestFit="1" customWidth="1"/>
    <col min="22" max="22" width="10" bestFit="1" customWidth="1"/>
  </cols>
  <sheetData>
    <row r="1" spans="3:19" s="99" customFormat="1" ht="15.75">
      <c r="C1" s="817" t="s">
        <v>6</v>
      </c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</row>
    <row r="2" spans="3:19" s="99" customFormat="1" ht="15.75">
      <c r="C2" s="817" t="s">
        <v>292</v>
      </c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</row>
    <row r="3" spans="3:19" s="99" customFormat="1" ht="15.75">
      <c r="C3" s="817" t="s">
        <v>211</v>
      </c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</row>
    <row r="4" spans="3:19" s="30" customFormat="1" ht="9.75" customHeight="1"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</row>
    <row r="5" spans="3:19" s="33" customFormat="1" ht="12.75">
      <c r="C5" s="33" t="s">
        <v>7</v>
      </c>
      <c r="D5" s="94" t="s">
        <v>10</v>
      </c>
      <c r="E5" s="94"/>
      <c r="F5" s="94"/>
      <c r="G5" s="94"/>
      <c r="H5" s="94"/>
      <c r="I5" s="95"/>
      <c r="J5" s="95" t="s">
        <v>12</v>
      </c>
      <c r="K5" s="95" t="s">
        <v>12</v>
      </c>
      <c r="L5" s="818" t="s">
        <v>56</v>
      </c>
      <c r="M5" s="818"/>
      <c r="N5" s="818"/>
      <c r="O5" s="818"/>
      <c r="P5" s="818"/>
      <c r="Q5" s="818"/>
      <c r="R5" s="818"/>
      <c r="S5" s="818"/>
    </row>
    <row r="6" spans="3:19" s="33" customFormat="1" ht="12.75">
      <c r="C6" s="33" t="s">
        <v>8</v>
      </c>
      <c r="D6" s="94" t="s">
        <v>11</v>
      </c>
      <c r="E6" s="94"/>
      <c r="F6" s="94"/>
      <c r="G6" s="94"/>
      <c r="H6" s="94"/>
      <c r="I6" s="95"/>
      <c r="J6" s="95" t="s">
        <v>12</v>
      </c>
      <c r="K6" s="95" t="s">
        <v>12</v>
      </c>
      <c r="L6" s="94" t="s">
        <v>408</v>
      </c>
      <c r="M6" s="94"/>
      <c r="N6" s="94"/>
      <c r="O6" s="94"/>
      <c r="P6" s="94"/>
      <c r="Q6" s="94"/>
      <c r="R6" s="94"/>
      <c r="S6" s="94"/>
    </row>
    <row r="7" spans="3:19" s="33" customFormat="1" ht="12.75">
      <c r="C7" s="33" t="s">
        <v>9</v>
      </c>
      <c r="D7" s="94" t="s">
        <v>22</v>
      </c>
      <c r="E7" s="94"/>
      <c r="F7" s="94"/>
      <c r="G7" s="94"/>
      <c r="H7" s="94"/>
      <c r="I7" s="95"/>
      <c r="J7" s="95" t="s">
        <v>12</v>
      </c>
      <c r="K7" s="95" t="s">
        <v>12</v>
      </c>
      <c r="L7" s="818" t="s">
        <v>76</v>
      </c>
      <c r="M7" s="818"/>
      <c r="N7" s="818"/>
      <c r="O7" s="818"/>
      <c r="P7" s="818"/>
      <c r="Q7" s="818"/>
      <c r="R7" s="818"/>
      <c r="S7" s="818"/>
    </row>
    <row r="8" spans="3:19" s="33" customFormat="1" ht="12.75">
      <c r="C8" s="96" t="s">
        <v>219</v>
      </c>
      <c r="D8" s="94" t="s">
        <v>216</v>
      </c>
      <c r="E8" s="94"/>
      <c r="F8" s="94"/>
      <c r="G8" s="94"/>
      <c r="H8" s="94"/>
      <c r="I8" s="95"/>
      <c r="J8" s="95"/>
      <c r="K8" s="95" t="s">
        <v>12</v>
      </c>
      <c r="L8" s="168" t="s">
        <v>288</v>
      </c>
      <c r="M8" s="149"/>
      <c r="N8" s="149"/>
      <c r="O8" s="149"/>
      <c r="P8" s="149"/>
      <c r="Q8" s="149"/>
      <c r="R8" s="149"/>
      <c r="S8" s="149"/>
    </row>
    <row r="9" spans="3:19" s="33" customFormat="1" ht="12.75">
      <c r="C9" s="96" t="s">
        <v>228</v>
      </c>
      <c r="D9" s="94" t="s">
        <v>229</v>
      </c>
      <c r="E9" s="94"/>
      <c r="F9" s="94"/>
      <c r="G9" s="94"/>
      <c r="H9" s="94"/>
      <c r="I9" s="95"/>
      <c r="J9" s="95"/>
      <c r="K9" s="95" t="s">
        <v>12</v>
      </c>
      <c r="L9" s="149" t="s">
        <v>320</v>
      </c>
      <c r="M9" s="149"/>
      <c r="N9" s="149"/>
      <c r="O9" s="149"/>
      <c r="P9" s="149"/>
      <c r="Q9" s="149"/>
      <c r="R9" s="149"/>
      <c r="S9" s="149"/>
    </row>
    <row r="10" spans="3:19" s="33" customFormat="1" ht="12.75">
      <c r="C10" s="96" t="s">
        <v>230</v>
      </c>
      <c r="D10" s="94" t="s">
        <v>210</v>
      </c>
      <c r="E10" s="94"/>
      <c r="F10" s="94"/>
      <c r="G10" s="94"/>
      <c r="H10" s="94"/>
      <c r="I10" s="95"/>
      <c r="J10" s="95"/>
      <c r="K10" s="95" t="s">
        <v>12</v>
      </c>
      <c r="L10" s="149"/>
      <c r="M10" s="149"/>
      <c r="N10" s="149"/>
      <c r="O10" s="149"/>
      <c r="P10" s="149"/>
      <c r="Q10" s="149"/>
      <c r="R10" s="149"/>
      <c r="S10" s="149"/>
    </row>
    <row r="11" spans="3:19" s="33" customFormat="1" ht="6" customHeight="1">
      <c r="C11" s="96"/>
      <c r="D11" s="94"/>
      <c r="E11" s="94"/>
      <c r="F11" s="94"/>
      <c r="G11" s="94"/>
      <c r="H11" s="94"/>
      <c r="I11" s="95"/>
      <c r="J11" s="95"/>
      <c r="K11" s="95"/>
      <c r="L11" s="149"/>
      <c r="M11" s="149"/>
      <c r="N11" s="149"/>
      <c r="O11" s="149"/>
      <c r="P11" s="149"/>
      <c r="Q11" s="149"/>
      <c r="R11" s="149"/>
      <c r="S11" s="149"/>
    </row>
    <row r="12" spans="3:19" s="33" customFormat="1" ht="12.75">
      <c r="C12" s="98" t="s">
        <v>221</v>
      </c>
      <c r="D12" s="94"/>
      <c r="E12" s="94"/>
      <c r="F12" s="94"/>
      <c r="G12" s="94"/>
      <c r="H12" s="94"/>
      <c r="I12" s="95"/>
      <c r="J12" s="95"/>
      <c r="K12" s="95"/>
      <c r="L12" s="149"/>
      <c r="M12" s="149"/>
      <c r="N12" s="149"/>
      <c r="O12" s="149"/>
      <c r="P12" s="149"/>
      <c r="Q12" s="149"/>
      <c r="R12" s="149"/>
      <c r="S12" s="149"/>
    </row>
    <row r="13" spans="3:19" s="33" customFormat="1" ht="4.5" customHeight="1"/>
    <row r="14" spans="3:19" s="33" customFormat="1" ht="12.75">
      <c r="C14" s="819" t="s">
        <v>0</v>
      </c>
      <c r="D14" s="820"/>
      <c r="E14" s="820"/>
      <c r="F14" s="820"/>
      <c r="G14" s="821"/>
      <c r="H14" s="819" t="s">
        <v>1</v>
      </c>
      <c r="I14" s="820"/>
      <c r="J14" s="820"/>
      <c r="K14" s="820"/>
      <c r="L14" s="820"/>
      <c r="M14" s="820"/>
      <c r="N14" s="820"/>
      <c r="O14" s="821"/>
      <c r="P14" s="825" t="s">
        <v>2</v>
      </c>
      <c r="Q14" s="825" t="s">
        <v>47</v>
      </c>
      <c r="R14" s="153" t="s">
        <v>4</v>
      </c>
      <c r="S14" s="825" t="s">
        <v>3</v>
      </c>
    </row>
    <row r="15" spans="3:19" s="33" customFormat="1" ht="12.75">
      <c r="C15" s="822"/>
      <c r="D15" s="823"/>
      <c r="E15" s="823"/>
      <c r="F15" s="823"/>
      <c r="G15" s="824"/>
      <c r="H15" s="822"/>
      <c r="I15" s="823"/>
      <c r="J15" s="823"/>
      <c r="K15" s="823"/>
      <c r="L15" s="823"/>
      <c r="M15" s="823"/>
      <c r="N15" s="823"/>
      <c r="O15" s="824"/>
      <c r="P15" s="826"/>
      <c r="Q15" s="826"/>
      <c r="R15" s="154" t="s">
        <v>5</v>
      </c>
      <c r="S15" s="826"/>
    </row>
    <row r="16" spans="3:19" s="33" customFormat="1" ht="12.75">
      <c r="C16" s="827">
        <v>1</v>
      </c>
      <c r="D16" s="828"/>
      <c r="E16" s="828"/>
      <c r="F16" s="828"/>
      <c r="G16" s="829"/>
      <c r="H16" s="150"/>
      <c r="I16" s="151">
        <v>2</v>
      </c>
      <c r="J16" s="151"/>
      <c r="K16" s="151"/>
      <c r="L16" s="151"/>
      <c r="M16" s="151"/>
      <c r="N16" s="151"/>
      <c r="O16" s="152"/>
      <c r="P16" s="46">
        <v>3</v>
      </c>
      <c r="Q16" s="46"/>
      <c r="R16" s="46">
        <v>4</v>
      </c>
      <c r="S16" s="46">
        <v>5</v>
      </c>
    </row>
    <row r="17" spans="1:21" s="33" customFormat="1" ht="18" customHeight="1">
      <c r="A17" s="37"/>
      <c r="B17" s="37"/>
      <c r="C17" s="830">
        <v>2</v>
      </c>
      <c r="D17" s="830"/>
      <c r="E17" s="157">
        <v>2</v>
      </c>
      <c r="F17" s="157">
        <v>6</v>
      </c>
      <c r="G17" s="157">
        <v>2</v>
      </c>
      <c r="H17" s="56" t="s">
        <v>14</v>
      </c>
      <c r="I17" s="831" t="s">
        <v>48</v>
      </c>
      <c r="J17" s="831"/>
      <c r="K17" s="831"/>
      <c r="L17" s="57"/>
      <c r="M17" s="57"/>
      <c r="N17" s="57"/>
      <c r="O17" s="58"/>
      <c r="P17" s="59"/>
      <c r="Q17" s="59"/>
      <c r="R17" s="59"/>
      <c r="S17" s="60">
        <f>SUM(S18)</f>
        <v>17845000</v>
      </c>
    </row>
    <row r="18" spans="1:21" s="33" customFormat="1" ht="12.75" customHeight="1">
      <c r="C18" s="814"/>
      <c r="D18" s="814"/>
      <c r="E18" s="158"/>
      <c r="F18" s="158"/>
      <c r="G18" s="158"/>
      <c r="H18" s="155"/>
      <c r="I18" s="104" t="s">
        <v>57</v>
      </c>
      <c r="J18" s="104"/>
      <c r="K18" s="105"/>
      <c r="L18" s="105"/>
      <c r="M18" s="105"/>
      <c r="N18" s="105"/>
      <c r="O18" s="156"/>
      <c r="P18" s="158"/>
      <c r="Q18" s="158"/>
      <c r="R18" s="106"/>
      <c r="S18" s="107">
        <f>SUM(S19:S21)</f>
        <v>17845000</v>
      </c>
      <c r="U18" s="54"/>
    </row>
    <row r="19" spans="1:21" s="33" customFormat="1" ht="12.75" customHeight="1">
      <c r="C19" s="814"/>
      <c r="D19" s="814"/>
      <c r="E19" s="158"/>
      <c r="F19" s="158"/>
      <c r="G19" s="158"/>
      <c r="H19" s="155"/>
      <c r="I19" s="108" t="s">
        <v>280</v>
      </c>
      <c r="J19" s="104"/>
      <c r="K19" s="105"/>
      <c r="L19" s="105"/>
      <c r="M19" s="105"/>
      <c r="N19" s="105"/>
      <c r="O19" s="156"/>
      <c r="P19" s="158">
        <f>S19/R19</f>
        <v>175.5</v>
      </c>
      <c r="Q19" s="158" t="s">
        <v>282</v>
      </c>
      <c r="R19" s="106">
        <v>65000</v>
      </c>
      <c r="S19" s="106">
        <v>11407500</v>
      </c>
      <c r="U19" s="54">
        <v>11407500</v>
      </c>
    </row>
    <row r="20" spans="1:21" s="33" customFormat="1" ht="12.75" customHeight="1">
      <c r="C20" s="155"/>
      <c r="D20" s="156"/>
      <c r="E20" s="158"/>
      <c r="F20" s="158"/>
      <c r="G20" s="158"/>
      <c r="H20" s="155"/>
      <c r="I20" s="108" t="s">
        <v>281</v>
      </c>
      <c r="J20" s="104"/>
      <c r="K20" s="105"/>
      <c r="L20" s="105"/>
      <c r="M20" s="105"/>
      <c r="N20" s="105"/>
      <c r="O20" s="156"/>
      <c r="P20" s="158">
        <v>67.5</v>
      </c>
      <c r="Q20" s="158" t="s">
        <v>282</v>
      </c>
      <c r="R20" s="106">
        <v>85000</v>
      </c>
      <c r="S20" s="106">
        <f t="shared" ref="S20:S21" si="0">P20*R20</f>
        <v>5737500</v>
      </c>
      <c r="U20" s="54">
        <f>U19/65000</f>
        <v>175.5</v>
      </c>
    </row>
    <row r="21" spans="1:21" s="33" customFormat="1" ht="12.75" customHeight="1">
      <c r="C21" s="155"/>
      <c r="D21" s="156"/>
      <c r="E21" s="158"/>
      <c r="F21" s="158"/>
      <c r="G21" s="158"/>
      <c r="H21" s="155"/>
      <c r="I21" s="108" t="s">
        <v>325</v>
      </c>
      <c r="J21" s="104"/>
      <c r="K21" s="105"/>
      <c r="L21" s="105"/>
      <c r="M21" s="105"/>
      <c r="N21" s="105"/>
      <c r="O21" s="156"/>
      <c r="P21" s="158">
        <v>7</v>
      </c>
      <c r="Q21" s="158" t="s">
        <v>282</v>
      </c>
      <c r="R21" s="106">
        <v>100000</v>
      </c>
      <c r="S21" s="106">
        <f t="shared" si="0"/>
        <v>700000</v>
      </c>
      <c r="U21" s="54"/>
    </row>
    <row r="22" spans="1:21" s="33" customFormat="1" ht="9" customHeight="1">
      <c r="C22" s="816"/>
      <c r="D22" s="816"/>
      <c r="E22" s="162"/>
      <c r="F22" s="162"/>
      <c r="G22" s="162"/>
      <c r="H22" s="160"/>
      <c r="I22" s="63"/>
      <c r="J22" s="63"/>
      <c r="K22" s="64"/>
      <c r="L22" s="64"/>
      <c r="M22" s="64"/>
      <c r="N22" s="64"/>
      <c r="O22" s="161"/>
      <c r="P22" s="162"/>
      <c r="Q22" s="162"/>
      <c r="R22" s="66"/>
      <c r="S22" s="66"/>
    </row>
    <row r="23" spans="1:21" s="33" customFormat="1" ht="15" customHeight="1">
      <c r="C23" s="814">
        <v>2</v>
      </c>
      <c r="D23" s="814"/>
      <c r="E23" s="158">
        <v>2</v>
      </c>
      <c r="F23" s="158">
        <v>6</v>
      </c>
      <c r="G23" s="158">
        <v>2</v>
      </c>
      <c r="H23" s="109" t="s">
        <v>14</v>
      </c>
      <c r="I23" s="163" t="s">
        <v>60</v>
      </c>
      <c r="J23" s="104"/>
      <c r="K23" s="105"/>
      <c r="L23" s="105"/>
      <c r="M23" s="105"/>
      <c r="N23" s="105"/>
      <c r="O23" s="156"/>
      <c r="P23" s="158"/>
      <c r="Q23" s="158"/>
      <c r="R23" s="106"/>
      <c r="S23" s="107">
        <f>SUM(S24:S29)</f>
        <v>49455000</v>
      </c>
      <c r="U23" s="54"/>
    </row>
    <row r="24" spans="1:21" s="33" customFormat="1" ht="12.75" customHeight="1">
      <c r="C24" s="814"/>
      <c r="D24" s="814"/>
      <c r="E24" s="158"/>
      <c r="F24" s="158"/>
      <c r="G24" s="158"/>
      <c r="H24" s="155"/>
      <c r="I24" s="104" t="s">
        <v>409</v>
      </c>
      <c r="J24" s="104"/>
      <c r="K24" s="104"/>
      <c r="L24" s="104"/>
      <c r="M24" s="104"/>
      <c r="N24" s="104"/>
      <c r="O24" s="110"/>
      <c r="P24" s="144">
        <v>750</v>
      </c>
      <c r="Q24" s="158" t="s">
        <v>413</v>
      </c>
      <c r="R24" s="106">
        <v>63800</v>
      </c>
      <c r="S24" s="106">
        <f t="shared" ref="S24:S26" si="1">P24*R24</f>
        <v>47850000</v>
      </c>
      <c r="U24" s="50"/>
    </row>
    <row r="25" spans="1:21" s="33" customFormat="1" ht="12.75" customHeight="1">
      <c r="C25" s="814"/>
      <c r="D25" s="814"/>
      <c r="E25" s="158"/>
      <c r="F25" s="158"/>
      <c r="G25" s="158"/>
      <c r="H25" s="155"/>
      <c r="I25" s="104" t="s">
        <v>410</v>
      </c>
      <c r="J25" s="104"/>
      <c r="K25" s="104"/>
      <c r="L25" s="104"/>
      <c r="M25" s="104"/>
      <c r="N25" s="104"/>
      <c r="O25" s="110"/>
      <c r="P25" s="144">
        <v>5</v>
      </c>
      <c r="Q25" s="158" t="s">
        <v>414</v>
      </c>
      <c r="R25" s="106">
        <v>35000</v>
      </c>
      <c r="S25" s="106">
        <f>P25*R25</f>
        <v>175000</v>
      </c>
      <c r="U25" s="54"/>
    </row>
    <row r="26" spans="1:21" s="33" customFormat="1" ht="12.75" customHeight="1">
      <c r="C26" s="814"/>
      <c r="D26" s="814"/>
      <c r="E26" s="158"/>
      <c r="F26" s="158"/>
      <c r="G26" s="158"/>
      <c r="H26" s="155"/>
      <c r="I26" s="104" t="s">
        <v>411</v>
      </c>
      <c r="J26" s="104"/>
      <c r="K26" s="104"/>
      <c r="L26" s="104"/>
      <c r="M26" s="104"/>
      <c r="N26" s="104"/>
      <c r="O26" s="110"/>
      <c r="P26" s="144">
        <v>10</v>
      </c>
      <c r="Q26" s="158" t="s">
        <v>63</v>
      </c>
      <c r="R26" s="106">
        <v>20000</v>
      </c>
      <c r="S26" s="106">
        <f t="shared" si="1"/>
        <v>200000</v>
      </c>
      <c r="U26" s="54">
        <v>129014700</v>
      </c>
    </row>
    <row r="27" spans="1:21" s="33" customFormat="1" ht="12.75" customHeight="1">
      <c r="C27" s="814"/>
      <c r="D27" s="814"/>
      <c r="E27" s="158"/>
      <c r="F27" s="158"/>
      <c r="G27" s="158"/>
      <c r="H27" s="155"/>
      <c r="I27" s="104" t="s">
        <v>61</v>
      </c>
      <c r="J27" s="104"/>
      <c r="K27" s="104"/>
      <c r="L27" s="104"/>
      <c r="M27" s="104"/>
      <c r="N27" s="104"/>
      <c r="O27" s="110"/>
      <c r="P27" s="144">
        <v>4</v>
      </c>
      <c r="Q27" s="158" t="s">
        <v>182</v>
      </c>
      <c r="R27" s="106">
        <v>195000</v>
      </c>
      <c r="S27" s="106">
        <f>P27*R27</f>
        <v>780000</v>
      </c>
      <c r="U27" s="53">
        <v>510000</v>
      </c>
    </row>
    <row r="28" spans="1:21" s="33" customFormat="1" ht="12.75" customHeight="1">
      <c r="C28" s="814"/>
      <c r="D28" s="814"/>
      <c r="E28" s="158"/>
      <c r="F28" s="158"/>
      <c r="G28" s="158"/>
      <c r="H28" s="155"/>
      <c r="I28" s="104" t="s">
        <v>412</v>
      </c>
      <c r="J28" s="104"/>
      <c r="K28" s="104"/>
      <c r="L28" s="104"/>
      <c r="M28" s="104"/>
      <c r="N28" s="104"/>
      <c r="O28" s="110"/>
      <c r="P28" s="144">
        <v>3</v>
      </c>
      <c r="Q28" s="158" t="s">
        <v>55</v>
      </c>
      <c r="R28" s="106">
        <v>150000</v>
      </c>
      <c r="S28" s="106">
        <f>P28*R28</f>
        <v>450000</v>
      </c>
      <c r="U28" s="54">
        <f>SUM(U26:U27)</f>
        <v>129524700</v>
      </c>
    </row>
    <row r="29" spans="1:21" s="33" customFormat="1" ht="12.75" customHeight="1">
      <c r="C29" s="814"/>
      <c r="D29" s="814"/>
      <c r="E29" s="158"/>
      <c r="F29" s="158"/>
      <c r="G29" s="158"/>
      <c r="H29" s="155"/>
      <c r="I29" s="104"/>
      <c r="J29" s="104"/>
      <c r="K29" s="104"/>
      <c r="L29" s="104"/>
      <c r="M29" s="104"/>
      <c r="N29" s="104"/>
      <c r="O29" s="110"/>
      <c r="P29" s="144"/>
      <c r="Q29" s="158"/>
      <c r="R29" s="106"/>
      <c r="S29" s="106"/>
    </row>
    <row r="30" spans="1:21" s="33" customFormat="1" ht="15" customHeight="1">
      <c r="C30" s="815"/>
      <c r="D30" s="815"/>
      <c r="E30" s="159"/>
      <c r="F30" s="159"/>
      <c r="G30" s="159"/>
      <c r="H30" s="811" t="s">
        <v>163</v>
      </c>
      <c r="I30" s="812"/>
      <c r="J30" s="812"/>
      <c r="K30" s="812"/>
      <c r="L30" s="812"/>
      <c r="M30" s="812"/>
      <c r="N30" s="812"/>
      <c r="O30" s="813"/>
      <c r="P30" s="36"/>
      <c r="Q30" s="36"/>
      <c r="R30" s="111"/>
      <c r="S30" s="112">
        <f>SUM(S17+S23)</f>
        <v>67300000</v>
      </c>
    </row>
    <row r="31" spans="1:21" s="33" customFormat="1" ht="12.75">
      <c r="C31" s="102"/>
      <c r="D31" s="92"/>
      <c r="E31" s="92"/>
      <c r="F31" s="92"/>
      <c r="G31" s="92"/>
      <c r="H31" s="143"/>
      <c r="I31" s="143"/>
      <c r="J31" s="143"/>
      <c r="K31" s="91"/>
      <c r="L31" s="91"/>
      <c r="M31" s="91"/>
      <c r="N31" s="91"/>
      <c r="O31" s="91"/>
      <c r="P31" s="91"/>
      <c r="Q31" s="91"/>
      <c r="R31" s="101"/>
      <c r="S31" s="103"/>
    </row>
    <row r="32" spans="1:21" s="33" customFormat="1" ht="12.75">
      <c r="C32" s="48"/>
      <c r="D32" s="77"/>
      <c r="E32" s="77"/>
      <c r="F32" s="77"/>
      <c r="G32" s="77"/>
      <c r="H32" s="88"/>
      <c r="I32" s="88"/>
      <c r="J32" s="88"/>
      <c r="K32" s="76"/>
      <c r="L32" s="76"/>
      <c r="M32" s="76"/>
      <c r="N32" s="76"/>
      <c r="O32" s="76"/>
      <c r="P32" s="76"/>
      <c r="Q32" s="76"/>
      <c r="R32" s="89"/>
      <c r="S32" s="113"/>
    </row>
    <row r="33" spans="3:19" s="33" customFormat="1" ht="12.75">
      <c r="C33" s="75"/>
      <c r="D33" s="76"/>
      <c r="E33" s="76"/>
      <c r="F33" s="76"/>
      <c r="G33" s="76"/>
      <c r="H33" s="76"/>
      <c r="I33" s="77" t="s">
        <v>168</v>
      </c>
      <c r="J33" s="76"/>
      <c r="K33" s="76"/>
      <c r="L33" s="76"/>
      <c r="M33" s="76"/>
      <c r="N33" s="76"/>
      <c r="O33" s="76"/>
      <c r="P33" s="76"/>
      <c r="Q33" s="76"/>
      <c r="R33" s="142" t="s">
        <v>193</v>
      </c>
      <c r="S33" s="52"/>
    </row>
    <row r="34" spans="3:19" s="33" customFormat="1" ht="12.75">
      <c r="C34" s="75"/>
      <c r="D34" s="76"/>
      <c r="E34" s="76"/>
      <c r="F34" s="76"/>
      <c r="G34" s="76"/>
      <c r="H34" s="76"/>
      <c r="I34" s="77" t="s">
        <v>298</v>
      </c>
      <c r="J34" s="76"/>
      <c r="K34" s="76"/>
      <c r="L34" s="76"/>
      <c r="M34" s="76"/>
      <c r="N34" s="76"/>
      <c r="O34" s="76"/>
      <c r="P34" s="76"/>
      <c r="Q34" s="76"/>
      <c r="R34" s="76"/>
      <c r="S34" s="52"/>
    </row>
    <row r="35" spans="3:19" s="33" customFormat="1" ht="12.75"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52"/>
    </row>
    <row r="36" spans="3:19" s="33" customFormat="1" ht="12.75"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52"/>
    </row>
    <row r="37" spans="3:19" s="33" customFormat="1" ht="12.75"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52"/>
    </row>
    <row r="38" spans="3:19" s="33" customFormat="1" ht="12.75"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52"/>
    </row>
    <row r="39" spans="3:19" s="33" customFormat="1" ht="12.75"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52"/>
    </row>
    <row r="40" spans="3:19" s="33" customFormat="1" ht="12.75">
      <c r="C40" s="75"/>
      <c r="D40" s="76"/>
      <c r="E40" s="76"/>
      <c r="F40" s="76"/>
      <c r="G40" s="76"/>
      <c r="H40" s="76"/>
      <c r="I40" s="77" t="s">
        <v>304</v>
      </c>
      <c r="J40" s="76"/>
      <c r="K40" s="76"/>
      <c r="L40" s="76"/>
      <c r="M40" s="76"/>
      <c r="N40" s="76"/>
      <c r="O40" s="76"/>
      <c r="P40" s="76"/>
      <c r="Q40" s="76"/>
      <c r="R40" s="142" t="s">
        <v>322</v>
      </c>
      <c r="S40" s="52"/>
    </row>
    <row r="41" spans="3:19" s="33" customFormat="1" ht="12.75"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80"/>
    </row>
    <row r="42" spans="3:19" s="33" customFormat="1" ht="12.75"/>
    <row r="43" spans="3:19" s="33" customFormat="1" ht="12.75"/>
    <row r="44" spans="3:19" s="33" customFormat="1" ht="12.75"/>
    <row r="45" spans="3:19" s="33" customFormat="1" ht="12.75"/>
    <row r="46" spans="3:19" s="30" customFormat="1"/>
    <row r="47" spans="3:19" s="30" customFormat="1"/>
    <row r="48" spans="3:19" s="30" customFormat="1"/>
    <row r="49" s="30" customFormat="1"/>
    <row r="50" s="30" customFormat="1"/>
    <row r="51" s="30" customFormat="1"/>
    <row r="52" s="30" customFormat="1"/>
    <row r="53" s="30" customFormat="1"/>
    <row r="54" s="30" customFormat="1"/>
    <row r="55" s="30" customFormat="1"/>
    <row r="56" s="30" customFormat="1"/>
    <row r="57" s="30" customFormat="1"/>
    <row r="58" s="30" customFormat="1"/>
    <row r="59" s="30" customFormat="1"/>
    <row r="60" s="30" customFormat="1"/>
    <row r="61" s="30" customFormat="1"/>
    <row r="62" s="30" customFormat="1"/>
    <row r="63" s="30" customFormat="1"/>
    <row r="64" s="30" customFormat="1"/>
    <row r="65" s="30" customFormat="1"/>
    <row r="66" s="30" customFormat="1"/>
    <row r="67" s="30" customFormat="1"/>
    <row r="68" s="30" customFormat="1"/>
    <row r="69" s="30" customFormat="1"/>
    <row r="70" s="30" customFormat="1"/>
    <row r="71" s="30" customFormat="1"/>
    <row r="72" s="30" customFormat="1"/>
    <row r="73" s="30" customFormat="1"/>
    <row r="74" s="30" customFormat="1"/>
    <row r="75" s="30" customFormat="1"/>
    <row r="76" s="30" customFormat="1"/>
    <row r="77" s="30" customFormat="1"/>
    <row r="78" s="30" customFormat="1"/>
    <row r="79" s="30" customFormat="1"/>
    <row r="80" s="30" customFormat="1"/>
    <row r="81" s="30" customFormat="1"/>
    <row r="82" s="30" customFormat="1"/>
    <row r="83" s="30" customFormat="1"/>
    <row r="84" s="30" customFormat="1"/>
    <row r="85" s="30" customFormat="1"/>
    <row r="86" s="30" customFormat="1"/>
    <row r="87" s="30" customFormat="1"/>
    <row r="88" s="30" customFormat="1"/>
    <row r="89" s="30" customFormat="1"/>
    <row r="90" s="30" customFormat="1"/>
    <row r="91" s="30" customFormat="1"/>
    <row r="92" s="30" customFormat="1"/>
    <row r="93" s="30" customFormat="1"/>
    <row r="94" s="30" customFormat="1"/>
    <row r="95" s="30" customFormat="1"/>
    <row r="96" s="30" customFormat="1"/>
    <row r="97" s="30" customFormat="1"/>
    <row r="98" s="30" customFormat="1"/>
    <row r="99" s="30" customFormat="1"/>
    <row r="100" s="30" customFormat="1"/>
    <row r="101" s="30" customFormat="1"/>
    <row r="102" s="30" customFormat="1"/>
    <row r="103" s="30" customFormat="1"/>
    <row r="104" s="30" customFormat="1"/>
    <row r="105" s="30" customFormat="1"/>
    <row r="106" s="30" customFormat="1"/>
    <row r="107" s="30" customFormat="1"/>
    <row r="108" s="30" customFormat="1"/>
    <row r="109" s="30" customFormat="1"/>
    <row r="110" s="30" customFormat="1"/>
    <row r="111" s="30" customFormat="1"/>
    <row r="112" s="30" customFormat="1"/>
    <row r="113" s="30" customFormat="1"/>
    <row r="114" s="30" customFormat="1"/>
    <row r="115" s="30" customFormat="1"/>
    <row r="116" s="30" customFormat="1"/>
    <row r="117" s="30" customFormat="1"/>
    <row r="118" s="30" customFormat="1"/>
    <row r="119" s="30" customFormat="1"/>
    <row r="120" s="30" customFormat="1"/>
    <row r="121" s="30" customFormat="1"/>
    <row r="122" s="30" customFormat="1"/>
    <row r="123" s="30" customFormat="1"/>
    <row r="124" s="30" customFormat="1"/>
    <row r="125" s="30" customFormat="1"/>
    <row r="126" s="30" customFormat="1"/>
    <row r="127" s="30" customFormat="1"/>
    <row r="128" s="30" customFormat="1"/>
    <row r="129" s="30" customFormat="1"/>
    <row r="130" s="30" customFormat="1"/>
    <row r="131" s="30" customFormat="1"/>
    <row r="132" s="30" customFormat="1"/>
    <row r="133" s="30" customFormat="1"/>
    <row r="134" s="30" customFormat="1"/>
    <row r="135" s="30" customFormat="1"/>
    <row r="136" s="30" customFormat="1"/>
    <row r="137" s="30" customFormat="1"/>
    <row r="138" s="30" customFormat="1"/>
    <row r="139" s="30" customFormat="1"/>
    <row r="140" s="30" customFormat="1"/>
    <row r="141" s="30" customFormat="1"/>
    <row r="142" s="30" customFormat="1"/>
    <row r="143" s="30" customFormat="1"/>
    <row r="144" s="30" customFormat="1"/>
    <row r="145" s="30" customFormat="1"/>
    <row r="146" s="30" customFormat="1"/>
    <row r="147" s="30" customFormat="1"/>
    <row r="148" s="30" customFormat="1"/>
    <row r="149" s="30" customFormat="1"/>
    <row r="150" s="30" customFormat="1"/>
    <row r="151" s="30" customFormat="1"/>
    <row r="152" s="30" customFormat="1"/>
    <row r="153" s="30" customFormat="1"/>
    <row r="154" s="30" customFormat="1"/>
    <row r="155" s="30" customFormat="1"/>
    <row r="156" s="30" customFormat="1"/>
    <row r="157" s="30" customFormat="1"/>
    <row r="158" s="30" customFormat="1"/>
    <row r="159" s="30" customFormat="1"/>
    <row r="160" s="30" customFormat="1"/>
    <row r="161" s="30" customFormat="1"/>
    <row r="162" s="30" customFormat="1"/>
    <row r="163" s="30" customFormat="1"/>
    <row r="164" s="30" customFormat="1"/>
    <row r="165" s="30" customFormat="1"/>
    <row r="166" s="30" customFormat="1"/>
    <row r="167" s="30" customFormat="1"/>
    <row r="168" s="30" customFormat="1"/>
    <row r="169" s="30" customFormat="1"/>
    <row r="170" s="30" customFormat="1"/>
    <row r="171" s="30" customFormat="1"/>
    <row r="172" s="30" customFormat="1"/>
    <row r="173" s="30" customFormat="1"/>
    <row r="174" s="30" customFormat="1"/>
    <row r="175" s="30" customFormat="1"/>
    <row r="176" s="30" customFormat="1"/>
    <row r="177" s="30" customFormat="1"/>
    <row r="178" s="30" customFormat="1"/>
    <row r="179" s="30" customFormat="1"/>
    <row r="180" s="30" customFormat="1"/>
    <row r="181" s="30" customFormat="1"/>
    <row r="182" s="30" customFormat="1"/>
    <row r="183" s="30" customFormat="1"/>
    <row r="184" s="30" customFormat="1"/>
    <row r="185" s="30" customFormat="1"/>
    <row r="186" s="30" customFormat="1"/>
    <row r="187" s="30" customFormat="1"/>
    <row r="188" s="30" customFormat="1"/>
    <row r="189" s="30" customFormat="1"/>
    <row r="190" s="30" customFormat="1"/>
    <row r="191" s="30" customFormat="1"/>
    <row r="192" s="30" customFormat="1"/>
    <row r="193" s="30" customFormat="1"/>
    <row r="194" s="30" customFormat="1"/>
    <row r="195" s="30" customFormat="1"/>
    <row r="196" s="30" customFormat="1"/>
    <row r="197" s="30" customFormat="1"/>
    <row r="198" s="30" customFormat="1"/>
    <row r="199" s="30" customFormat="1"/>
    <row r="200" s="30" customFormat="1"/>
    <row r="201" s="30" customFormat="1"/>
    <row r="202" s="30" customFormat="1"/>
    <row r="203" s="30" customFormat="1"/>
    <row r="204" s="30" customFormat="1"/>
    <row r="205" s="30" customFormat="1"/>
    <row r="206" s="30" customFormat="1"/>
    <row r="207" s="30" customFormat="1"/>
    <row r="208" s="30" customFormat="1"/>
    <row r="209" s="30" customFormat="1"/>
    <row r="210" s="30" customFormat="1"/>
    <row r="211" s="30" customFormat="1"/>
    <row r="212" s="30" customFormat="1"/>
    <row r="213" s="30" customFormat="1"/>
    <row r="214" s="30" customFormat="1"/>
    <row r="215" s="30" customFormat="1"/>
    <row r="216" s="30" customFormat="1"/>
    <row r="217" s="30" customFormat="1"/>
    <row r="218" s="30" customFormat="1"/>
    <row r="219" s="30" customFormat="1"/>
    <row r="220" s="30" customFormat="1"/>
    <row r="221" s="30" customFormat="1"/>
    <row r="222" s="30" customFormat="1"/>
    <row r="223" s="30" customFormat="1"/>
    <row r="224" s="30" customFormat="1"/>
    <row r="225" s="30" customFormat="1"/>
    <row r="226" s="30" customFormat="1"/>
    <row r="227" s="30" customFormat="1"/>
    <row r="228" s="30" customFormat="1"/>
    <row r="229" s="30" customFormat="1"/>
    <row r="230" s="30" customFormat="1"/>
    <row r="231" s="30" customFormat="1"/>
    <row r="232" s="30" customFormat="1"/>
    <row r="233" s="30" customFormat="1"/>
    <row r="234" s="30" customFormat="1"/>
    <row r="235" s="30" customFormat="1"/>
    <row r="236" s="30" customFormat="1"/>
    <row r="237" s="30" customFormat="1"/>
    <row r="238" s="30" customFormat="1"/>
    <row r="239" s="30" customFormat="1"/>
    <row r="240" s="30" customFormat="1"/>
    <row r="241" s="30" customFormat="1"/>
    <row r="242" s="30" customFormat="1"/>
    <row r="243" s="30" customFormat="1"/>
    <row r="244" s="30" customFormat="1"/>
    <row r="245" s="30" customFormat="1"/>
    <row r="246" s="30" customFormat="1"/>
    <row r="247" s="30" customFormat="1"/>
    <row r="248" s="30" customFormat="1"/>
    <row r="249" s="30" customFormat="1"/>
    <row r="250" s="30" customFormat="1"/>
    <row r="251" s="30" customFormat="1"/>
    <row r="252" s="30" customFormat="1"/>
    <row r="253" s="30" customFormat="1"/>
    <row r="254" s="30" customFormat="1"/>
    <row r="255" s="30" customFormat="1"/>
    <row r="256" s="30" customFormat="1"/>
    <row r="257" s="30" customFormat="1"/>
    <row r="258" s="30" customFormat="1"/>
    <row r="259" s="30" customFormat="1"/>
    <row r="260" s="30" customFormat="1"/>
    <row r="261" s="30" customFormat="1"/>
    <row r="262" s="30" customFormat="1"/>
    <row r="263" s="30" customFormat="1"/>
    <row r="264" s="30" customFormat="1"/>
    <row r="265" s="30" customFormat="1"/>
    <row r="266" s="30" customFormat="1"/>
    <row r="267" s="30" customFormat="1"/>
    <row r="268" s="30" customFormat="1"/>
    <row r="269" s="30" customFormat="1"/>
    <row r="270" s="30" customFormat="1"/>
    <row r="271" s="30" customFormat="1"/>
    <row r="272" s="30" customFormat="1"/>
    <row r="273" s="30" customFormat="1"/>
    <row r="274" s="30" customFormat="1"/>
    <row r="275" s="30" customFormat="1"/>
    <row r="276" s="30" customFormat="1"/>
    <row r="277" s="30" customFormat="1"/>
    <row r="278" s="30" customFormat="1"/>
    <row r="279" s="30" customFormat="1"/>
    <row r="280" s="30" customFormat="1"/>
    <row r="281" s="30" customFormat="1"/>
    <row r="282" s="30" customFormat="1"/>
    <row r="283" s="30" customFormat="1"/>
    <row r="284" s="30" customFormat="1"/>
    <row r="285" s="30" customFormat="1"/>
    <row r="286" s="30" customFormat="1"/>
    <row r="287" s="30" customFormat="1"/>
    <row r="288" s="30" customFormat="1"/>
    <row r="289" s="30" customFormat="1"/>
    <row r="290" s="30" customFormat="1"/>
    <row r="291" s="30" customFormat="1"/>
    <row r="292" s="30" customFormat="1"/>
    <row r="293" s="30" customFormat="1"/>
    <row r="294" s="30" customFormat="1"/>
    <row r="295" s="30" customFormat="1"/>
    <row r="296" s="30" customFormat="1"/>
    <row r="297" s="30" customFormat="1"/>
    <row r="298" s="28" customFormat="1"/>
    <row r="299" s="28" customFormat="1"/>
    <row r="300" s="28" customFormat="1"/>
    <row r="301" s="28" customFormat="1"/>
    <row r="302" s="28" customFormat="1"/>
    <row r="303" s="28" customFormat="1"/>
    <row r="304" s="28" customFormat="1"/>
    <row r="305" s="28" customFormat="1"/>
    <row r="306" s="28" customFormat="1"/>
    <row r="307" s="28" customFormat="1"/>
    <row r="308" s="28" customFormat="1"/>
    <row r="309" s="28" customFormat="1"/>
    <row r="310" s="28" customFormat="1"/>
    <row r="311" s="28" customFormat="1"/>
    <row r="312" s="28" customFormat="1"/>
  </sheetData>
  <mergeCells count="25">
    <mergeCell ref="C30:D30"/>
    <mergeCell ref="H30:O30"/>
    <mergeCell ref="C24:D24"/>
    <mergeCell ref="C25:D25"/>
    <mergeCell ref="C26:D26"/>
    <mergeCell ref="C27:D27"/>
    <mergeCell ref="C28:D28"/>
    <mergeCell ref="C29:D29"/>
    <mergeCell ref="C23:D23"/>
    <mergeCell ref="C14:G15"/>
    <mergeCell ref="H14:O15"/>
    <mergeCell ref="P14:P15"/>
    <mergeCell ref="Q14:Q15"/>
    <mergeCell ref="C17:D17"/>
    <mergeCell ref="I17:K17"/>
    <mergeCell ref="C18:D18"/>
    <mergeCell ref="C19:D19"/>
    <mergeCell ref="C22:D22"/>
    <mergeCell ref="S14:S15"/>
    <mergeCell ref="C16:G16"/>
    <mergeCell ref="C1:S1"/>
    <mergeCell ref="C2:S2"/>
    <mergeCell ref="C3:S3"/>
    <mergeCell ref="L5:S5"/>
    <mergeCell ref="L7:S7"/>
  </mergeCells>
  <pageMargins left="0.75" right="0.5" top="1" bottom="0.5" header="0.28000000000000003" footer="0.31496062992126"/>
  <pageSetup paperSize="5" scale="90"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U360"/>
  <sheetViews>
    <sheetView topLeftCell="C1" zoomScaleSheetLayoutView="100" workbookViewId="0">
      <selection activeCell="C1" sqref="C1:S1"/>
    </sheetView>
  </sheetViews>
  <sheetFormatPr defaultRowHeight="15"/>
  <cols>
    <col min="1" max="2" width="0" hidden="1" customWidth="1"/>
    <col min="3" max="3" width="2" customWidth="1"/>
    <col min="4" max="4" width="0.7109375" customWidth="1"/>
    <col min="5" max="5" width="2.42578125" customWidth="1"/>
    <col min="6" max="6" width="2.7109375" customWidth="1"/>
    <col min="7" max="7" width="2.42578125" customWidth="1"/>
    <col min="8" max="8" width="2" customWidth="1"/>
    <col min="9" max="9" width="18.85546875" customWidth="1"/>
    <col min="10" max="10" width="1.5703125" hidden="1" customWidth="1"/>
    <col min="11" max="11" width="2.42578125" customWidth="1"/>
    <col min="12" max="15" width="5" customWidth="1"/>
    <col min="16" max="16" width="7.42578125" customWidth="1"/>
    <col min="17" max="17" width="7.28515625" customWidth="1"/>
    <col min="18" max="18" width="13.140625" customWidth="1"/>
    <col min="19" max="19" width="15.7109375" customWidth="1"/>
    <col min="21" max="21" width="12.28515625" bestFit="1" customWidth="1"/>
    <col min="22" max="22" width="10" bestFit="1" customWidth="1"/>
  </cols>
  <sheetData>
    <row r="1" spans="1:19" s="247" customFormat="1" ht="18">
      <c r="A1" s="527"/>
      <c r="B1" s="528"/>
      <c r="C1" s="853" t="s">
        <v>6</v>
      </c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5"/>
    </row>
    <row r="2" spans="1:19" s="247" customFormat="1" ht="18">
      <c r="A2" s="529"/>
      <c r="B2" s="530"/>
      <c r="C2" s="869" t="s">
        <v>292</v>
      </c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0"/>
      <c r="R2" s="870"/>
      <c r="S2" s="871"/>
    </row>
    <row r="3" spans="1:19" s="249" customFormat="1" ht="15.75">
      <c r="A3" s="531"/>
      <c r="B3" s="532"/>
      <c r="C3" s="859" t="s">
        <v>211</v>
      </c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1"/>
    </row>
    <row r="4" spans="1:19" s="243" customFormat="1" ht="9.75" customHeight="1">
      <c r="A4" s="370"/>
      <c r="B4" s="371"/>
      <c r="C4" s="370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8"/>
    </row>
    <row r="5" spans="1:19" s="242" customFormat="1" ht="16.5">
      <c r="A5" s="283"/>
      <c r="B5" s="284"/>
      <c r="C5" s="283" t="s">
        <v>7</v>
      </c>
      <c r="D5" s="295" t="s">
        <v>10</v>
      </c>
      <c r="E5" s="295"/>
      <c r="F5" s="295"/>
      <c r="G5" s="295"/>
      <c r="H5" s="295"/>
      <c r="I5" s="286"/>
      <c r="J5" s="286" t="s">
        <v>12</v>
      </c>
      <c r="K5" s="286" t="s">
        <v>12</v>
      </c>
      <c r="L5" s="851" t="s">
        <v>56</v>
      </c>
      <c r="M5" s="851"/>
      <c r="N5" s="851"/>
      <c r="O5" s="851"/>
      <c r="P5" s="851"/>
      <c r="Q5" s="851"/>
      <c r="R5" s="851"/>
      <c r="S5" s="852"/>
    </row>
    <row r="6" spans="1:19" s="242" customFormat="1" ht="16.5">
      <c r="A6" s="283"/>
      <c r="B6" s="284"/>
      <c r="C6" s="283" t="s">
        <v>8</v>
      </c>
      <c r="D6" s="295" t="s">
        <v>11</v>
      </c>
      <c r="E6" s="295"/>
      <c r="F6" s="295"/>
      <c r="G6" s="295"/>
      <c r="H6" s="295"/>
      <c r="I6" s="286"/>
      <c r="J6" s="286" t="s">
        <v>12</v>
      </c>
      <c r="K6" s="286" t="s">
        <v>12</v>
      </c>
      <c r="L6" s="295" t="s">
        <v>387</v>
      </c>
      <c r="M6" s="295"/>
      <c r="N6" s="295"/>
      <c r="O6" s="295"/>
      <c r="P6" s="295"/>
      <c r="Q6" s="295"/>
      <c r="R6" s="295"/>
      <c r="S6" s="296"/>
    </row>
    <row r="7" spans="1:19" s="242" customFormat="1" ht="16.5">
      <c r="A7" s="283"/>
      <c r="B7" s="284"/>
      <c r="C7" s="283" t="s">
        <v>9</v>
      </c>
      <c r="D7" s="295" t="s">
        <v>22</v>
      </c>
      <c r="E7" s="295"/>
      <c r="F7" s="295"/>
      <c r="G7" s="295"/>
      <c r="H7" s="295"/>
      <c r="I7" s="286"/>
      <c r="J7" s="286" t="s">
        <v>12</v>
      </c>
      <c r="K7" s="286" t="s">
        <v>12</v>
      </c>
      <c r="L7" s="890" t="s">
        <v>558</v>
      </c>
      <c r="M7" s="851"/>
      <c r="N7" s="851"/>
      <c r="O7" s="851"/>
      <c r="P7" s="851"/>
      <c r="Q7" s="851"/>
      <c r="R7" s="851"/>
      <c r="S7" s="852"/>
    </row>
    <row r="8" spans="1:19" s="242" customFormat="1" ht="16.5">
      <c r="A8" s="283"/>
      <c r="B8" s="284"/>
      <c r="C8" s="297" t="s">
        <v>219</v>
      </c>
      <c r="D8" s="295" t="s">
        <v>216</v>
      </c>
      <c r="E8" s="295"/>
      <c r="F8" s="295"/>
      <c r="G8" s="295"/>
      <c r="H8" s="295"/>
      <c r="I8" s="286"/>
      <c r="J8" s="286"/>
      <c r="K8" s="286" t="s">
        <v>12</v>
      </c>
      <c r="L8" s="469" t="s">
        <v>139</v>
      </c>
      <c r="M8" s="469"/>
      <c r="N8" s="469"/>
      <c r="O8" s="469"/>
      <c r="P8" s="469"/>
      <c r="Q8" s="469"/>
      <c r="R8" s="469"/>
      <c r="S8" s="470"/>
    </row>
    <row r="9" spans="1:19" s="242" customFormat="1" ht="16.5">
      <c r="A9" s="283"/>
      <c r="B9" s="284"/>
      <c r="C9" s="297" t="s">
        <v>228</v>
      </c>
      <c r="D9" s="295" t="s">
        <v>229</v>
      </c>
      <c r="E9" s="295"/>
      <c r="F9" s="295"/>
      <c r="G9" s="295"/>
      <c r="H9" s="295"/>
      <c r="I9" s="286"/>
      <c r="J9" s="286"/>
      <c r="K9" s="286" t="s">
        <v>12</v>
      </c>
      <c r="L9" s="469" t="s">
        <v>320</v>
      </c>
      <c r="M9" s="469"/>
      <c r="N9" s="469"/>
      <c r="O9" s="469"/>
      <c r="P9" s="469"/>
      <c r="Q9" s="469"/>
      <c r="R9" s="469"/>
      <c r="S9" s="470"/>
    </row>
    <row r="10" spans="1:19" s="242" customFormat="1" ht="16.5">
      <c r="A10" s="283"/>
      <c r="B10" s="284"/>
      <c r="C10" s="297" t="s">
        <v>230</v>
      </c>
      <c r="D10" s="295" t="s">
        <v>210</v>
      </c>
      <c r="E10" s="295"/>
      <c r="F10" s="295"/>
      <c r="G10" s="295"/>
      <c r="H10" s="295"/>
      <c r="I10" s="286"/>
      <c r="J10" s="286"/>
      <c r="K10" s="286" t="s">
        <v>12</v>
      </c>
      <c r="L10" s="469" t="s">
        <v>557</v>
      </c>
      <c r="M10" s="469"/>
      <c r="N10" s="469"/>
      <c r="O10" s="469"/>
      <c r="P10" s="469"/>
      <c r="Q10" s="469"/>
      <c r="R10" s="469"/>
      <c r="S10" s="470"/>
    </row>
    <row r="11" spans="1:19" s="242" customFormat="1" ht="6" customHeight="1">
      <c r="A11" s="283"/>
      <c r="B11" s="284"/>
      <c r="C11" s="297"/>
      <c r="D11" s="295"/>
      <c r="E11" s="295"/>
      <c r="F11" s="295"/>
      <c r="G11" s="295"/>
      <c r="H11" s="295"/>
      <c r="I11" s="286"/>
      <c r="J11" s="286"/>
      <c r="K11" s="286"/>
      <c r="L11" s="469"/>
      <c r="M11" s="469"/>
      <c r="N11" s="469"/>
      <c r="O11" s="469"/>
      <c r="P11" s="469"/>
      <c r="Q11" s="469"/>
      <c r="R11" s="469"/>
      <c r="S11" s="470"/>
    </row>
    <row r="12" spans="1:19" s="243" customFormat="1" ht="12.75">
      <c r="A12" s="370"/>
      <c r="B12" s="371"/>
      <c r="C12" s="394" t="s">
        <v>221</v>
      </c>
      <c r="D12" s="430"/>
      <c r="E12" s="430"/>
      <c r="F12" s="430"/>
      <c r="G12" s="430"/>
      <c r="H12" s="430"/>
      <c r="I12" s="382"/>
      <c r="J12" s="382"/>
      <c r="K12" s="382"/>
      <c r="L12" s="397"/>
      <c r="M12" s="397"/>
      <c r="N12" s="397"/>
      <c r="O12" s="397"/>
      <c r="P12" s="397"/>
      <c r="Q12" s="397"/>
      <c r="R12" s="397"/>
      <c r="S12" s="398"/>
    </row>
    <row r="13" spans="1:19" s="242" customFormat="1" ht="4.5" customHeight="1">
      <c r="A13" s="283"/>
      <c r="B13" s="284"/>
      <c r="C13" s="283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5"/>
    </row>
    <row r="14" spans="1:19" s="243" customFormat="1" ht="12.75">
      <c r="A14" s="370"/>
      <c r="B14" s="371"/>
      <c r="C14" s="775" t="s">
        <v>0</v>
      </c>
      <c r="D14" s="776"/>
      <c r="E14" s="776"/>
      <c r="F14" s="776"/>
      <c r="G14" s="777"/>
      <c r="H14" s="775" t="s">
        <v>1</v>
      </c>
      <c r="I14" s="776"/>
      <c r="J14" s="776"/>
      <c r="K14" s="776"/>
      <c r="L14" s="776"/>
      <c r="M14" s="776"/>
      <c r="N14" s="776"/>
      <c r="O14" s="777"/>
      <c r="P14" s="780" t="s">
        <v>2</v>
      </c>
      <c r="Q14" s="780" t="s">
        <v>47</v>
      </c>
      <c r="R14" s="479" t="s">
        <v>4</v>
      </c>
      <c r="S14" s="780" t="s">
        <v>3</v>
      </c>
    </row>
    <row r="15" spans="1:19" s="243" customFormat="1" ht="12.75">
      <c r="A15" s="370"/>
      <c r="B15" s="371"/>
      <c r="C15" s="863"/>
      <c r="D15" s="778"/>
      <c r="E15" s="778"/>
      <c r="F15" s="778"/>
      <c r="G15" s="779"/>
      <c r="H15" s="863"/>
      <c r="I15" s="778"/>
      <c r="J15" s="778"/>
      <c r="K15" s="778"/>
      <c r="L15" s="778"/>
      <c r="M15" s="778"/>
      <c r="N15" s="778"/>
      <c r="O15" s="779"/>
      <c r="P15" s="781"/>
      <c r="Q15" s="781"/>
      <c r="R15" s="480" t="s">
        <v>5</v>
      </c>
      <c r="S15" s="781"/>
    </row>
    <row r="16" spans="1:19" s="237" customFormat="1" ht="13.5">
      <c r="A16" s="245"/>
      <c r="B16" s="246"/>
      <c r="C16" s="864">
        <v>1</v>
      </c>
      <c r="D16" s="865"/>
      <c r="E16" s="865"/>
      <c r="F16" s="865"/>
      <c r="G16" s="866"/>
      <c r="H16" s="476"/>
      <c r="I16" s="477">
        <v>2</v>
      </c>
      <c r="J16" s="477"/>
      <c r="K16" s="477"/>
      <c r="L16" s="477"/>
      <c r="M16" s="477"/>
      <c r="N16" s="477"/>
      <c r="O16" s="478"/>
      <c r="P16" s="239">
        <v>3</v>
      </c>
      <c r="Q16" s="239"/>
      <c r="R16" s="239">
        <v>4</v>
      </c>
      <c r="S16" s="239">
        <v>5</v>
      </c>
    </row>
    <row r="17" spans="1:21" s="242" customFormat="1" ht="18" customHeight="1">
      <c r="A17" s="389"/>
      <c r="B17" s="337"/>
      <c r="C17" s="876">
        <v>2</v>
      </c>
      <c r="D17" s="876"/>
      <c r="E17" s="492">
        <v>2</v>
      </c>
      <c r="F17" s="492">
        <v>6</v>
      </c>
      <c r="G17" s="492">
        <v>2</v>
      </c>
      <c r="H17" s="432" t="s">
        <v>14</v>
      </c>
      <c r="I17" s="862" t="s">
        <v>48</v>
      </c>
      <c r="J17" s="862"/>
      <c r="K17" s="862"/>
      <c r="L17" s="379"/>
      <c r="M17" s="379"/>
      <c r="N17" s="379"/>
      <c r="O17" s="433"/>
      <c r="P17" s="256"/>
      <c r="Q17" s="256"/>
      <c r="R17" s="256"/>
      <c r="S17" s="308">
        <f>SUM(S18)</f>
        <v>7280000</v>
      </c>
    </row>
    <row r="18" spans="1:21" s="242" customFormat="1" ht="12.75" customHeight="1">
      <c r="A18" s="283"/>
      <c r="B18" s="284"/>
      <c r="C18" s="875"/>
      <c r="D18" s="875"/>
      <c r="E18" s="491"/>
      <c r="F18" s="491"/>
      <c r="G18" s="491"/>
      <c r="H18" s="489"/>
      <c r="I18" s="260" t="s">
        <v>57</v>
      </c>
      <c r="J18" s="260"/>
      <c r="K18" s="265"/>
      <c r="L18" s="265"/>
      <c r="M18" s="265"/>
      <c r="N18" s="265"/>
      <c r="O18" s="490"/>
      <c r="P18" s="491"/>
      <c r="Q18" s="491"/>
      <c r="R18" s="267"/>
      <c r="S18" s="320">
        <f>SUM(S19:S21)</f>
        <v>7280000</v>
      </c>
      <c r="U18" s="311"/>
    </row>
    <row r="19" spans="1:21" s="242" customFormat="1" ht="12.75" customHeight="1">
      <c r="A19" s="283"/>
      <c r="B19" s="284"/>
      <c r="C19" s="875"/>
      <c r="D19" s="875"/>
      <c r="E19" s="491"/>
      <c r="F19" s="491"/>
      <c r="G19" s="491"/>
      <c r="H19" s="489"/>
      <c r="I19" s="321" t="s">
        <v>280</v>
      </c>
      <c r="J19" s="260"/>
      <c r="K19" s="265"/>
      <c r="L19" s="265"/>
      <c r="M19" s="265"/>
      <c r="N19" s="265"/>
      <c r="O19" s="490"/>
      <c r="P19" s="491">
        <v>68</v>
      </c>
      <c r="Q19" s="491" t="s">
        <v>282</v>
      </c>
      <c r="R19" s="267">
        <v>55000</v>
      </c>
      <c r="S19" s="267">
        <f>P19*R19</f>
        <v>3740000</v>
      </c>
      <c r="U19" s="311"/>
    </row>
    <row r="20" spans="1:21" s="242" customFormat="1" ht="12.75" customHeight="1">
      <c r="A20" s="283"/>
      <c r="B20" s="284"/>
      <c r="C20" s="489"/>
      <c r="D20" s="490"/>
      <c r="E20" s="491"/>
      <c r="F20" s="491"/>
      <c r="G20" s="491"/>
      <c r="H20" s="489"/>
      <c r="I20" s="321" t="s">
        <v>281</v>
      </c>
      <c r="J20" s="260"/>
      <c r="K20" s="265"/>
      <c r="L20" s="265"/>
      <c r="M20" s="265"/>
      <c r="N20" s="265"/>
      <c r="O20" s="490"/>
      <c r="P20" s="491">
        <v>44</v>
      </c>
      <c r="Q20" s="491" t="s">
        <v>282</v>
      </c>
      <c r="R20" s="267">
        <v>65000</v>
      </c>
      <c r="S20" s="267">
        <f t="shared" ref="S20:S21" si="0">P20*R20</f>
        <v>2860000</v>
      </c>
      <c r="U20" s="311"/>
    </row>
    <row r="21" spans="1:21" s="242" customFormat="1" ht="12.75" customHeight="1">
      <c r="A21" s="283"/>
      <c r="B21" s="284"/>
      <c r="C21" s="489"/>
      <c r="D21" s="490"/>
      <c r="E21" s="491"/>
      <c r="F21" s="491"/>
      <c r="G21" s="491"/>
      <c r="H21" s="489"/>
      <c r="I21" s="321" t="s">
        <v>325</v>
      </c>
      <c r="J21" s="260"/>
      <c r="K21" s="265"/>
      <c r="L21" s="265"/>
      <c r="M21" s="265"/>
      <c r="N21" s="265"/>
      <c r="O21" s="490"/>
      <c r="P21" s="491">
        <v>8</v>
      </c>
      <c r="Q21" s="491" t="s">
        <v>282</v>
      </c>
      <c r="R21" s="267">
        <v>85000</v>
      </c>
      <c r="S21" s="267">
        <f t="shared" si="0"/>
        <v>680000</v>
      </c>
      <c r="U21" s="311"/>
    </row>
    <row r="22" spans="1:21" s="242" customFormat="1" ht="9" customHeight="1">
      <c r="A22" s="283"/>
      <c r="B22" s="284"/>
      <c r="C22" s="891"/>
      <c r="D22" s="891"/>
      <c r="E22" s="408"/>
      <c r="F22" s="408"/>
      <c r="G22" s="408"/>
      <c r="H22" s="493"/>
      <c r="I22" s="309"/>
      <c r="J22" s="309"/>
      <c r="K22" s="415"/>
      <c r="L22" s="415"/>
      <c r="M22" s="415"/>
      <c r="N22" s="415"/>
      <c r="O22" s="494"/>
      <c r="P22" s="408"/>
      <c r="Q22" s="408"/>
      <c r="R22" s="417"/>
      <c r="S22" s="417"/>
    </row>
    <row r="23" spans="1:21" s="242" customFormat="1" ht="15" customHeight="1">
      <c r="A23" s="283"/>
      <c r="B23" s="284"/>
      <c r="C23" s="875">
        <v>2</v>
      </c>
      <c r="D23" s="875"/>
      <c r="E23" s="491">
        <v>2</v>
      </c>
      <c r="F23" s="491">
        <v>6</v>
      </c>
      <c r="G23" s="491">
        <v>2</v>
      </c>
      <c r="H23" s="447" t="s">
        <v>14</v>
      </c>
      <c r="I23" s="310" t="s">
        <v>60</v>
      </c>
      <c r="J23" s="260"/>
      <c r="K23" s="265"/>
      <c r="L23" s="265"/>
      <c r="M23" s="265"/>
      <c r="N23" s="265"/>
      <c r="O23" s="490"/>
      <c r="P23" s="491"/>
      <c r="Q23" s="491"/>
      <c r="R23" s="267"/>
      <c r="S23" s="320">
        <f>SUM(S24:S64)</f>
        <v>16632250</v>
      </c>
      <c r="U23" s="311"/>
    </row>
    <row r="24" spans="1:21" s="242" customFormat="1" ht="12.75" customHeight="1">
      <c r="A24" s="283"/>
      <c r="B24" s="284"/>
      <c r="C24" s="875"/>
      <c r="D24" s="875"/>
      <c r="E24" s="491"/>
      <c r="F24" s="491"/>
      <c r="G24" s="491"/>
      <c r="H24" s="489"/>
      <c r="I24" s="260" t="s">
        <v>326</v>
      </c>
      <c r="J24" s="260"/>
      <c r="K24" s="260"/>
      <c r="L24" s="260"/>
      <c r="M24" s="260"/>
      <c r="N24" s="260"/>
      <c r="O24" s="262"/>
      <c r="P24" s="524">
        <v>6</v>
      </c>
      <c r="Q24" s="491" t="s">
        <v>182</v>
      </c>
      <c r="R24" s="267">
        <v>225000</v>
      </c>
      <c r="S24" s="267">
        <f t="shared" ref="S24:S64" si="1">P24*R24</f>
        <v>1350000</v>
      </c>
      <c r="U24" s="282"/>
    </row>
    <row r="25" spans="1:21" s="242" customFormat="1" ht="12.75" customHeight="1">
      <c r="A25" s="283"/>
      <c r="B25" s="284"/>
      <c r="C25" s="875"/>
      <c r="D25" s="875"/>
      <c r="E25" s="491"/>
      <c r="F25" s="491"/>
      <c r="G25" s="491"/>
      <c r="H25" s="489"/>
      <c r="I25" s="260" t="s">
        <v>327</v>
      </c>
      <c r="J25" s="260"/>
      <c r="K25" s="260"/>
      <c r="L25" s="260"/>
      <c r="M25" s="260"/>
      <c r="N25" s="260"/>
      <c r="O25" s="262"/>
      <c r="P25" s="524">
        <v>6.37</v>
      </c>
      <c r="Q25" s="491" t="s">
        <v>182</v>
      </c>
      <c r="R25" s="267">
        <v>225000</v>
      </c>
      <c r="S25" s="267">
        <f>P25*R25</f>
        <v>1433250</v>
      </c>
      <c r="U25" s="311"/>
    </row>
    <row r="26" spans="1:21" s="242" customFormat="1" ht="12.75" customHeight="1">
      <c r="A26" s="283"/>
      <c r="B26" s="284"/>
      <c r="C26" s="875"/>
      <c r="D26" s="875"/>
      <c r="E26" s="491"/>
      <c r="F26" s="491"/>
      <c r="G26" s="491"/>
      <c r="H26" s="489"/>
      <c r="I26" s="260" t="s">
        <v>62</v>
      </c>
      <c r="J26" s="260"/>
      <c r="K26" s="260"/>
      <c r="L26" s="260"/>
      <c r="M26" s="260"/>
      <c r="N26" s="260"/>
      <c r="O26" s="262"/>
      <c r="P26" s="524">
        <v>44</v>
      </c>
      <c r="Q26" s="491" t="s">
        <v>63</v>
      </c>
      <c r="R26" s="267">
        <v>65000</v>
      </c>
      <c r="S26" s="267">
        <f t="shared" si="1"/>
        <v>2860000</v>
      </c>
      <c r="U26" s="311">
        <v>129014700</v>
      </c>
    </row>
    <row r="27" spans="1:21" s="242" customFormat="1" ht="12.75" customHeight="1">
      <c r="A27" s="283"/>
      <c r="B27" s="284"/>
      <c r="C27" s="875"/>
      <c r="D27" s="875"/>
      <c r="E27" s="491"/>
      <c r="F27" s="491"/>
      <c r="G27" s="491"/>
      <c r="H27" s="489"/>
      <c r="I27" s="260" t="s">
        <v>328</v>
      </c>
      <c r="J27" s="260"/>
      <c r="K27" s="260"/>
      <c r="L27" s="260"/>
      <c r="M27" s="260"/>
      <c r="N27" s="260"/>
      <c r="O27" s="262"/>
      <c r="P27" s="524">
        <v>2</v>
      </c>
      <c r="Q27" s="491" t="s">
        <v>182</v>
      </c>
      <c r="R27" s="267">
        <v>85000</v>
      </c>
      <c r="S27" s="267">
        <f>P27*R27</f>
        <v>170000</v>
      </c>
      <c r="U27" s="271">
        <v>510000</v>
      </c>
    </row>
    <row r="28" spans="1:21" s="242" customFormat="1" ht="12.75" customHeight="1">
      <c r="A28" s="283"/>
      <c r="B28" s="284"/>
      <c r="C28" s="875"/>
      <c r="D28" s="875"/>
      <c r="E28" s="491"/>
      <c r="F28" s="491"/>
      <c r="G28" s="491"/>
      <c r="H28" s="489"/>
      <c r="I28" s="260" t="s">
        <v>329</v>
      </c>
      <c r="J28" s="260"/>
      <c r="K28" s="260"/>
      <c r="L28" s="260"/>
      <c r="M28" s="260"/>
      <c r="N28" s="260"/>
      <c r="O28" s="262"/>
      <c r="P28" s="317">
        <v>1392</v>
      </c>
      <c r="Q28" s="491" t="s">
        <v>365</v>
      </c>
      <c r="R28" s="267">
        <v>750</v>
      </c>
      <c r="S28" s="267">
        <f>P28*R28</f>
        <v>1044000</v>
      </c>
      <c r="U28" s="311">
        <f>SUM(U26:U27)</f>
        <v>129524700</v>
      </c>
    </row>
    <row r="29" spans="1:21" s="242" customFormat="1" ht="12.75" customHeight="1">
      <c r="A29" s="283"/>
      <c r="B29" s="284"/>
      <c r="C29" s="875"/>
      <c r="D29" s="875"/>
      <c r="E29" s="491"/>
      <c r="F29" s="491"/>
      <c r="G29" s="491"/>
      <c r="H29" s="489"/>
      <c r="I29" s="260" t="s">
        <v>330</v>
      </c>
      <c r="J29" s="260"/>
      <c r="K29" s="260"/>
      <c r="L29" s="260"/>
      <c r="M29" s="260"/>
      <c r="N29" s="260"/>
      <c r="O29" s="262"/>
      <c r="P29" s="524">
        <v>2.5</v>
      </c>
      <c r="Q29" s="491" t="s">
        <v>182</v>
      </c>
      <c r="R29" s="267">
        <v>250000</v>
      </c>
      <c r="S29" s="267">
        <f>P29*R29</f>
        <v>625000</v>
      </c>
    </row>
    <row r="30" spans="1:21" s="242" customFormat="1" ht="12.75" customHeight="1">
      <c r="A30" s="283"/>
      <c r="B30" s="284"/>
      <c r="C30" s="875"/>
      <c r="D30" s="875"/>
      <c r="E30" s="491"/>
      <c r="F30" s="491"/>
      <c r="G30" s="491"/>
      <c r="H30" s="489"/>
      <c r="I30" s="260" t="s">
        <v>331</v>
      </c>
      <c r="J30" s="260"/>
      <c r="K30" s="260"/>
      <c r="L30" s="260"/>
      <c r="M30" s="260"/>
      <c r="N30" s="260"/>
      <c r="O30" s="262"/>
      <c r="P30" s="524">
        <v>6</v>
      </c>
      <c r="Q30" s="491" t="s">
        <v>366</v>
      </c>
      <c r="R30" s="267">
        <v>60000</v>
      </c>
      <c r="S30" s="267">
        <f>P30*R30</f>
        <v>360000</v>
      </c>
    </row>
    <row r="31" spans="1:21" s="242" customFormat="1" ht="12.75" customHeight="1">
      <c r="A31" s="283"/>
      <c r="B31" s="284"/>
      <c r="C31" s="875"/>
      <c r="D31" s="875"/>
      <c r="E31" s="491"/>
      <c r="F31" s="491"/>
      <c r="G31" s="491"/>
      <c r="H31" s="489"/>
      <c r="I31" s="260" t="s">
        <v>332</v>
      </c>
      <c r="J31" s="260"/>
      <c r="K31" s="260"/>
      <c r="L31" s="260"/>
      <c r="M31" s="260"/>
      <c r="N31" s="260"/>
      <c r="O31" s="262"/>
      <c r="P31" s="524">
        <v>12</v>
      </c>
      <c r="Q31" s="491" t="s">
        <v>366</v>
      </c>
      <c r="R31" s="267">
        <v>70000</v>
      </c>
      <c r="S31" s="267">
        <f>P31*R31</f>
        <v>840000</v>
      </c>
    </row>
    <row r="32" spans="1:21" s="242" customFormat="1" ht="12.75" customHeight="1">
      <c r="A32" s="283"/>
      <c r="B32" s="284"/>
      <c r="C32" s="875"/>
      <c r="D32" s="875"/>
      <c r="E32" s="491"/>
      <c r="F32" s="491"/>
      <c r="G32" s="491"/>
      <c r="H32" s="489"/>
      <c r="I32" s="260" t="s">
        <v>333</v>
      </c>
      <c r="J32" s="260"/>
      <c r="K32" s="260"/>
      <c r="L32" s="260"/>
      <c r="M32" s="260"/>
      <c r="N32" s="260"/>
      <c r="O32" s="262"/>
      <c r="P32" s="524">
        <v>0.14000000000000001</v>
      </c>
      <c r="Q32" s="491" t="s">
        <v>182</v>
      </c>
      <c r="R32" s="267">
        <v>4000000</v>
      </c>
      <c r="S32" s="525">
        <f>R32*P32</f>
        <v>560000</v>
      </c>
    </row>
    <row r="33" spans="1:19" s="242" customFormat="1" ht="12.75" customHeight="1">
      <c r="A33" s="283"/>
      <c r="B33" s="284"/>
      <c r="C33" s="875"/>
      <c r="D33" s="875"/>
      <c r="E33" s="491"/>
      <c r="F33" s="491"/>
      <c r="G33" s="491"/>
      <c r="H33" s="489"/>
      <c r="I33" s="260" t="s">
        <v>334</v>
      </c>
      <c r="J33" s="260"/>
      <c r="K33" s="260"/>
      <c r="L33" s="260"/>
      <c r="M33" s="260"/>
      <c r="N33" s="260"/>
      <c r="O33" s="262"/>
      <c r="P33" s="524">
        <v>0.08</v>
      </c>
      <c r="Q33" s="491" t="s">
        <v>182</v>
      </c>
      <c r="R33" s="267">
        <v>4000000</v>
      </c>
      <c r="S33" s="267">
        <f t="shared" ref="S33:S62" si="2">P33*R33</f>
        <v>320000</v>
      </c>
    </row>
    <row r="34" spans="1:19" s="242" customFormat="1" ht="12.75" customHeight="1">
      <c r="A34" s="283"/>
      <c r="B34" s="284"/>
      <c r="C34" s="875"/>
      <c r="D34" s="875"/>
      <c r="E34" s="491"/>
      <c r="F34" s="491"/>
      <c r="G34" s="491"/>
      <c r="H34" s="489"/>
      <c r="I34" s="260" t="s">
        <v>335</v>
      </c>
      <c r="J34" s="260"/>
      <c r="K34" s="260"/>
      <c r="L34" s="260"/>
      <c r="M34" s="260"/>
      <c r="N34" s="260"/>
      <c r="O34" s="262"/>
      <c r="P34" s="524">
        <v>0.27</v>
      </c>
      <c r="Q34" s="491" t="s">
        <v>367</v>
      </c>
      <c r="R34" s="267">
        <v>4000000</v>
      </c>
      <c r="S34" s="525">
        <f t="shared" si="2"/>
        <v>1080000</v>
      </c>
    </row>
    <row r="35" spans="1:19" s="242" customFormat="1" ht="12.75" customHeight="1">
      <c r="A35" s="283"/>
      <c r="B35" s="284"/>
      <c r="C35" s="875"/>
      <c r="D35" s="875"/>
      <c r="E35" s="491"/>
      <c r="F35" s="491"/>
      <c r="G35" s="491"/>
      <c r="H35" s="489"/>
      <c r="I35" s="260" t="s">
        <v>336</v>
      </c>
      <c r="J35" s="260"/>
      <c r="K35" s="260"/>
      <c r="L35" s="260"/>
      <c r="M35" s="260"/>
      <c r="N35" s="260"/>
      <c r="O35" s="262"/>
      <c r="P35" s="524">
        <v>3</v>
      </c>
      <c r="Q35" s="491" t="s">
        <v>367</v>
      </c>
      <c r="R35" s="267">
        <v>25000</v>
      </c>
      <c r="S35" s="267">
        <f t="shared" si="2"/>
        <v>75000</v>
      </c>
    </row>
    <row r="36" spans="1:19" s="242" customFormat="1" ht="12.75" customHeight="1">
      <c r="A36" s="283"/>
      <c r="B36" s="284"/>
      <c r="C36" s="875"/>
      <c r="D36" s="875"/>
      <c r="E36" s="491"/>
      <c r="F36" s="491"/>
      <c r="G36" s="491"/>
      <c r="H36" s="489"/>
      <c r="I36" s="260" t="s">
        <v>337</v>
      </c>
      <c r="J36" s="260"/>
      <c r="K36" s="260"/>
      <c r="L36" s="260"/>
      <c r="M36" s="260"/>
      <c r="N36" s="260"/>
      <c r="O36" s="262"/>
      <c r="P36" s="524">
        <v>22</v>
      </c>
      <c r="Q36" s="491" t="s">
        <v>297</v>
      </c>
      <c r="R36" s="267">
        <v>45500</v>
      </c>
      <c r="S36" s="267">
        <f t="shared" si="2"/>
        <v>1001000</v>
      </c>
    </row>
    <row r="37" spans="1:19" s="242" customFormat="1" ht="12.75" customHeight="1">
      <c r="A37" s="283"/>
      <c r="B37" s="284"/>
      <c r="C37" s="875"/>
      <c r="D37" s="875"/>
      <c r="E37" s="491"/>
      <c r="F37" s="491"/>
      <c r="G37" s="491"/>
      <c r="H37" s="489"/>
      <c r="I37" s="260" t="s">
        <v>338</v>
      </c>
      <c r="J37" s="260"/>
      <c r="K37" s="260"/>
      <c r="L37" s="260"/>
      <c r="M37" s="260"/>
      <c r="N37" s="260"/>
      <c r="O37" s="262"/>
      <c r="P37" s="524">
        <v>6</v>
      </c>
      <c r="Q37" s="491" t="s">
        <v>369</v>
      </c>
      <c r="R37" s="267">
        <v>25000</v>
      </c>
      <c r="S37" s="267">
        <f t="shared" si="2"/>
        <v>150000</v>
      </c>
    </row>
    <row r="38" spans="1:19" s="242" customFormat="1" ht="12.75" customHeight="1">
      <c r="A38" s="283"/>
      <c r="B38" s="284"/>
      <c r="C38" s="875"/>
      <c r="D38" s="875"/>
      <c r="E38" s="491"/>
      <c r="F38" s="491"/>
      <c r="G38" s="491"/>
      <c r="H38" s="489"/>
      <c r="I38" s="260" t="s">
        <v>339</v>
      </c>
      <c r="J38" s="260"/>
      <c r="K38" s="260"/>
      <c r="L38" s="260"/>
      <c r="M38" s="260"/>
      <c r="N38" s="260"/>
      <c r="O38" s="262"/>
      <c r="P38" s="524">
        <v>0.84</v>
      </c>
      <c r="Q38" s="491" t="s">
        <v>370</v>
      </c>
      <c r="R38" s="267">
        <v>25000</v>
      </c>
      <c r="S38" s="267">
        <f t="shared" si="2"/>
        <v>21000</v>
      </c>
    </row>
    <row r="39" spans="1:19" s="242" customFormat="1" ht="12.75" customHeight="1">
      <c r="A39" s="283"/>
      <c r="B39" s="284"/>
      <c r="C39" s="875"/>
      <c r="D39" s="875"/>
      <c r="E39" s="491"/>
      <c r="F39" s="491"/>
      <c r="G39" s="491"/>
      <c r="H39" s="489"/>
      <c r="I39" s="260" t="s">
        <v>340</v>
      </c>
      <c r="J39" s="260"/>
      <c r="K39" s="260"/>
      <c r="L39" s="260"/>
      <c r="M39" s="260"/>
      <c r="N39" s="260"/>
      <c r="O39" s="262"/>
      <c r="P39" s="524">
        <v>0.75</v>
      </c>
      <c r="Q39" s="491" t="s">
        <v>371</v>
      </c>
      <c r="R39" s="267">
        <v>90000</v>
      </c>
      <c r="S39" s="267">
        <f t="shared" si="2"/>
        <v>67500</v>
      </c>
    </row>
    <row r="40" spans="1:19" s="242" customFormat="1" ht="12.75" customHeight="1">
      <c r="A40" s="283"/>
      <c r="B40" s="284"/>
      <c r="C40" s="875"/>
      <c r="D40" s="875"/>
      <c r="E40" s="491"/>
      <c r="F40" s="491"/>
      <c r="G40" s="491"/>
      <c r="H40" s="489"/>
      <c r="I40" s="260" t="s">
        <v>341</v>
      </c>
      <c r="J40" s="260"/>
      <c r="K40" s="260"/>
      <c r="L40" s="260"/>
      <c r="M40" s="260"/>
      <c r="N40" s="260"/>
      <c r="O40" s="262"/>
      <c r="P40" s="524">
        <v>18</v>
      </c>
      <c r="Q40" s="491" t="s">
        <v>371</v>
      </c>
      <c r="R40" s="267">
        <v>65000</v>
      </c>
      <c r="S40" s="267">
        <f t="shared" si="2"/>
        <v>1170000</v>
      </c>
    </row>
    <row r="41" spans="1:19" s="242" customFormat="1" ht="12.75" customHeight="1">
      <c r="A41" s="283"/>
      <c r="B41" s="284"/>
      <c r="C41" s="875"/>
      <c r="D41" s="875"/>
      <c r="E41" s="491"/>
      <c r="F41" s="491"/>
      <c r="G41" s="491"/>
      <c r="H41" s="489"/>
      <c r="I41" s="260" t="s">
        <v>342</v>
      </c>
      <c r="J41" s="260"/>
      <c r="K41" s="260"/>
      <c r="L41" s="260"/>
      <c r="M41" s="260"/>
      <c r="N41" s="260"/>
      <c r="O41" s="262"/>
      <c r="P41" s="524">
        <v>11</v>
      </c>
      <c r="Q41" s="491" t="s">
        <v>367</v>
      </c>
      <c r="R41" s="267">
        <v>22000</v>
      </c>
      <c r="S41" s="267">
        <f t="shared" si="2"/>
        <v>242000</v>
      </c>
    </row>
    <row r="42" spans="1:19" s="242" customFormat="1" ht="12.75" customHeight="1">
      <c r="A42" s="283"/>
      <c r="B42" s="284"/>
      <c r="C42" s="875"/>
      <c r="D42" s="875"/>
      <c r="E42" s="491"/>
      <c r="F42" s="491"/>
      <c r="G42" s="491"/>
      <c r="H42" s="489"/>
      <c r="I42" s="260" t="s">
        <v>343</v>
      </c>
      <c r="J42" s="260"/>
      <c r="K42" s="260"/>
      <c r="L42" s="260"/>
      <c r="M42" s="260"/>
      <c r="N42" s="260"/>
      <c r="O42" s="262"/>
      <c r="P42" s="524">
        <v>10</v>
      </c>
      <c r="Q42" s="491" t="s">
        <v>367</v>
      </c>
      <c r="R42" s="267">
        <v>18000</v>
      </c>
      <c r="S42" s="267">
        <f t="shared" si="2"/>
        <v>180000</v>
      </c>
    </row>
    <row r="43" spans="1:19" s="242" customFormat="1" ht="12.75" customHeight="1">
      <c r="A43" s="283"/>
      <c r="B43" s="284"/>
      <c r="C43" s="875"/>
      <c r="D43" s="875"/>
      <c r="E43" s="491"/>
      <c r="F43" s="491"/>
      <c r="G43" s="491"/>
      <c r="H43" s="489"/>
      <c r="I43" s="260" t="s">
        <v>344</v>
      </c>
      <c r="J43" s="260"/>
      <c r="K43" s="260"/>
      <c r="L43" s="260"/>
      <c r="M43" s="260"/>
      <c r="N43" s="260"/>
      <c r="O43" s="262"/>
      <c r="P43" s="524">
        <v>1.2</v>
      </c>
      <c r="Q43" s="491" t="s">
        <v>367</v>
      </c>
      <c r="R43" s="267">
        <v>48000</v>
      </c>
      <c r="S43" s="267">
        <f t="shared" si="2"/>
        <v>57600</v>
      </c>
    </row>
    <row r="44" spans="1:19" s="242" customFormat="1" ht="12.75" customHeight="1">
      <c r="A44" s="283"/>
      <c r="B44" s="284"/>
      <c r="C44" s="875"/>
      <c r="D44" s="875"/>
      <c r="E44" s="491"/>
      <c r="F44" s="491"/>
      <c r="G44" s="491"/>
      <c r="H44" s="489"/>
      <c r="I44" s="260" t="s">
        <v>345</v>
      </c>
      <c r="J44" s="260"/>
      <c r="K44" s="260"/>
      <c r="L44" s="260"/>
      <c r="M44" s="260"/>
      <c r="N44" s="260"/>
      <c r="O44" s="262"/>
      <c r="P44" s="524">
        <v>5</v>
      </c>
      <c r="Q44" s="491" t="s">
        <v>367</v>
      </c>
      <c r="R44" s="267">
        <v>25000</v>
      </c>
      <c r="S44" s="267">
        <f t="shared" si="2"/>
        <v>125000</v>
      </c>
    </row>
    <row r="45" spans="1:19" s="242" customFormat="1" ht="12.75" customHeight="1">
      <c r="A45" s="283"/>
      <c r="B45" s="284"/>
      <c r="C45" s="875"/>
      <c r="D45" s="875"/>
      <c r="E45" s="491"/>
      <c r="F45" s="491"/>
      <c r="G45" s="491"/>
      <c r="H45" s="489"/>
      <c r="I45" s="260" t="s">
        <v>346</v>
      </c>
      <c r="J45" s="260"/>
      <c r="K45" s="260"/>
      <c r="L45" s="260"/>
      <c r="M45" s="260"/>
      <c r="N45" s="260"/>
      <c r="O45" s="262"/>
      <c r="P45" s="524">
        <v>1</v>
      </c>
      <c r="Q45" s="491" t="s">
        <v>367</v>
      </c>
      <c r="R45" s="267">
        <v>22500</v>
      </c>
      <c r="S45" s="267">
        <f t="shared" si="2"/>
        <v>22500</v>
      </c>
    </row>
    <row r="46" spans="1:19" s="242" customFormat="1" ht="12.75" customHeight="1">
      <c r="A46" s="283"/>
      <c r="B46" s="284"/>
      <c r="C46" s="875"/>
      <c r="D46" s="875"/>
      <c r="E46" s="491"/>
      <c r="F46" s="491"/>
      <c r="G46" s="491"/>
      <c r="H46" s="489"/>
      <c r="I46" s="260" t="s">
        <v>347</v>
      </c>
      <c r="J46" s="260"/>
      <c r="K46" s="260"/>
      <c r="L46" s="260"/>
      <c r="M46" s="260"/>
      <c r="N46" s="260"/>
      <c r="O46" s="262"/>
      <c r="P46" s="524">
        <v>1</v>
      </c>
      <c r="Q46" s="491" t="s">
        <v>372</v>
      </c>
      <c r="R46" s="267">
        <v>300000</v>
      </c>
      <c r="S46" s="267">
        <f t="shared" si="2"/>
        <v>300000</v>
      </c>
    </row>
    <row r="47" spans="1:19" s="242" customFormat="1" ht="12.75" customHeight="1">
      <c r="A47" s="283"/>
      <c r="B47" s="284"/>
      <c r="C47" s="875"/>
      <c r="D47" s="875"/>
      <c r="E47" s="491"/>
      <c r="F47" s="491"/>
      <c r="G47" s="491"/>
      <c r="H47" s="489"/>
      <c r="I47" s="260" t="s">
        <v>348</v>
      </c>
      <c r="J47" s="260"/>
      <c r="K47" s="260"/>
      <c r="L47" s="260"/>
      <c r="M47" s="260"/>
      <c r="N47" s="260"/>
      <c r="O47" s="262"/>
      <c r="P47" s="524">
        <v>0.1</v>
      </c>
      <c r="Q47" s="491" t="s">
        <v>182</v>
      </c>
      <c r="R47" s="267">
        <v>1500000</v>
      </c>
      <c r="S47" s="267">
        <f t="shared" si="2"/>
        <v>150000</v>
      </c>
    </row>
    <row r="48" spans="1:19" s="242" customFormat="1" ht="12.75" customHeight="1">
      <c r="A48" s="283"/>
      <c r="B48" s="284"/>
      <c r="C48" s="875"/>
      <c r="D48" s="875"/>
      <c r="E48" s="491"/>
      <c r="F48" s="491"/>
      <c r="G48" s="491"/>
      <c r="H48" s="489"/>
      <c r="I48" s="260" t="s">
        <v>349</v>
      </c>
      <c r="J48" s="260"/>
      <c r="K48" s="260"/>
      <c r="L48" s="260"/>
      <c r="M48" s="260"/>
      <c r="N48" s="260"/>
      <c r="O48" s="262"/>
      <c r="P48" s="524">
        <v>1</v>
      </c>
      <c r="Q48" s="491" t="s">
        <v>365</v>
      </c>
      <c r="R48" s="267">
        <v>70000</v>
      </c>
      <c r="S48" s="267">
        <f t="shared" si="2"/>
        <v>70000</v>
      </c>
    </row>
    <row r="49" spans="1:19" s="242" customFormat="1" ht="12.75" customHeight="1">
      <c r="A49" s="283"/>
      <c r="B49" s="284"/>
      <c r="C49" s="875"/>
      <c r="D49" s="875"/>
      <c r="E49" s="491"/>
      <c r="F49" s="491"/>
      <c r="G49" s="491"/>
      <c r="H49" s="489"/>
      <c r="I49" s="260" t="s">
        <v>350</v>
      </c>
      <c r="J49" s="260"/>
      <c r="K49" s="260"/>
      <c r="L49" s="260"/>
      <c r="M49" s="260"/>
      <c r="N49" s="260"/>
      <c r="O49" s="262"/>
      <c r="P49" s="524">
        <v>1</v>
      </c>
      <c r="Q49" s="491" t="s">
        <v>365</v>
      </c>
      <c r="R49" s="267">
        <v>3500</v>
      </c>
      <c r="S49" s="267">
        <f t="shared" si="2"/>
        <v>3500</v>
      </c>
    </row>
    <row r="50" spans="1:19" s="242" customFormat="1" ht="12.75" customHeight="1">
      <c r="A50" s="283"/>
      <c r="B50" s="284"/>
      <c r="C50" s="875"/>
      <c r="D50" s="875"/>
      <c r="E50" s="491"/>
      <c r="F50" s="491"/>
      <c r="G50" s="491"/>
      <c r="H50" s="489"/>
      <c r="I50" s="260" t="s">
        <v>351</v>
      </c>
      <c r="J50" s="260"/>
      <c r="K50" s="260"/>
      <c r="L50" s="260"/>
      <c r="M50" s="260"/>
      <c r="N50" s="260"/>
      <c r="O50" s="262"/>
      <c r="P50" s="524">
        <v>1</v>
      </c>
      <c r="Q50" s="491" t="s">
        <v>365</v>
      </c>
      <c r="R50" s="267">
        <v>15000</v>
      </c>
      <c r="S50" s="267">
        <f t="shared" si="2"/>
        <v>15000</v>
      </c>
    </row>
    <row r="51" spans="1:19" s="242" customFormat="1" ht="12.75" customHeight="1">
      <c r="A51" s="283"/>
      <c r="B51" s="284"/>
      <c r="C51" s="875"/>
      <c r="D51" s="875"/>
      <c r="E51" s="491"/>
      <c r="F51" s="491"/>
      <c r="G51" s="491"/>
      <c r="H51" s="489"/>
      <c r="I51" s="260" t="s">
        <v>352</v>
      </c>
      <c r="J51" s="260"/>
      <c r="K51" s="260"/>
      <c r="L51" s="260"/>
      <c r="M51" s="260"/>
      <c r="N51" s="260"/>
      <c r="O51" s="262"/>
      <c r="P51" s="524">
        <v>2</v>
      </c>
      <c r="Q51" s="491" t="s">
        <v>365</v>
      </c>
      <c r="R51" s="267">
        <v>25800</v>
      </c>
      <c r="S51" s="267">
        <f t="shared" si="2"/>
        <v>51600</v>
      </c>
    </row>
    <row r="52" spans="1:19" s="242" customFormat="1" ht="12.75" customHeight="1">
      <c r="A52" s="283"/>
      <c r="B52" s="284"/>
      <c r="C52" s="875"/>
      <c r="D52" s="875"/>
      <c r="E52" s="491"/>
      <c r="F52" s="491"/>
      <c r="G52" s="491"/>
      <c r="H52" s="489"/>
      <c r="I52" s="260" t="s">
        <v>353</v>
      </c>
      <c r="J52" s="260"/>
      <c r="K52" s="260"/>
      <c r="L52" s="260"/>
      <c r="M52" s="260"/>
      <c r="N52" s="260"/>
      <c r="O52" s="262"/>
      <c r="P52" s="524">
        <v>2</v>
      </c>
      <c r="Q52" s="491" t="s">
        <v>365</v>
      </c>
      <c r="R52" s="267">
        <v>5000</v>
      </c>
      <c r="S52" s="267">
        <f t="shared" si="2"/>
        <v>10000</v>
      </c>
    </row>
    <row r="53" spans="1:19" s="242" customFormat="1" ht="12.75" customHeight="1">
      <c r="A53" s="283"/>
      <c r="B53" s="284"/>
      <c r="C53" s="875"/>
      <c r="D53" s="875"/>
      <c r="E53" s="491"/>
      <c r="F53" s="491"/>
      <c r="G53" s="491"/>
      <c r="H53" s="489"/>
      <c r="I53" s="260" t="s">
        <v>354</v>
      </c>
      <c r="J53" s="260"/>
      <c r="K53" s="260"/>
      <c r="L53" s="260"/>
      <c r="M53" s="260"/>
      <c r="N53" s="260"/>
      <c r="O53" s="262"/>
      <c r="P53" s="524">
        <v>1</v>
      </c>
      <c r="Q53" s="491" t="s">
        <v>365</v>
      </c>
      <c r="R53" s="267">
        <v>170000</v>
      </c>
      <c r="S53" s="267">
        <f t="shared" si="2"/>
        <v>170000</v>
      </c>
    </row>
    <row r="54" spans="1:19" s="242" customFormat="1" ht="12.75" customHeight="1">
      <c r="A54" s="283"/>
      <c r="B54" s="284"/>
      <c r="C54" s="875"/>
      <c r="D54" s="875"/>
      <c r="E54" s="491"/>
      <c r="F54" s="491"/>
      <c r="G54" s="491"/>
      <c r="H54" s="489"/>
      <c r="I54" s="260" t="s">
        <v>399</v>
      </c>
      <c r="J54" s="260"/>
      <c r="K54" s="260"/>
      <c r="L54" s="260"/>
      <c r="M54" s="260"/>
      <c r="N54" s="260"/>
      <c r="O54" s="262"/>
      <c r="P54" s="524">
        <v>2</v>
      </c>
      <c r="Q54" s="491" t="s">
        <v>371</v>
      </c>
      <c r="R54" s="267">
        <v>65000</v>
      </c>
      <c r="S54" s="267">
        <f t="shared" si="2"/>
        <v>130000</v>
      </c>
    </row>
    <row r="55" spans="1:19" s="242" customFormat="1" ht="12.75" customHeight="1">
      <c r="A55" s="283"/>
      <c r="B55" s="284"/>
      <c r="C55" s="875"/>
      <c r="D55" s="875"/>
      <c r="E55" s="491"/>
      <c r="F55" s="491"/>
      <c r="G55" s="491"/>
      <c r="H55" s="489"/>
      <c r="I55" s="260" t="s">
        <v>400</v>
      </c>
      <c r="J55" s="260"/>
      <c r="K55" s="260"/>
      <c r="L55" s="260"/>
      <c r="M55" s="260"/>
      <c r="N55" s="260"/>
      <c r="O55" s="262"/>
      <c r="P55" s="524">
        <v>2</v>
      </c>
      <c r="Q55" s="491" t="s">
        <v>365</v>
      </c>
      <c r="R55" s="267">
        <v>6500</v>
      </c>
      <c r="S55" s="267">
        <f t="shared" si="2"/>
        <v>13000</v>
      </c>
    </row>
    <row r="56" spans="1:19" s="242" customFormat="1" ht="12.75" customHeight="1">
      <c r="A56" s="283"/>
      <c r="B56" s="284"/>
      <c r="C56" s="875"/>
      <c r="D56" s="875"/>
      <c r="E56" s="491"/>
      <c r="F56" s="491"/>
      <c r="G56" s="491"/>
      <c r="H56" s="489"/>
      <c r="I56" s="260" t="s">
        <v>401</v>
      </c>
      <c r="J56" s="260"/>
      <c r="K56" s="260"/>
      <c r="L56" s="260"/>
      <c r="M56" s="260"/>
      <c r="N56" s="260"/>
      <c r="O56" s="262"/>
      <c r="P56" s="524">
        <v>2</v>
      </c>
      <c r="Q56" s="491" t="s">
        <v>365</v>
      </c>
      <c r="R56" s="267">
        <v>3500</v>
      </c>
      <c r="S56" s="267">
        <f t="shared" si="2"/>
        <v>7000</v>
      </c>
    </row>
    <row r="57" spans="1:19" s="242" customFormat="1" ht="12.75" customHeight="1">
      <c r="A57" s="283"/>
      <c r="B57" s="284"/>
      <c r="C57" s="875"/>
      <c r="D57" s="875"/>
      <c r="E57" s="491"/>
      <c r="F57" s="491"/>
      <c r="G57" s="491"/>
      <c r="H57" s="489"/>
      <c r="I57" s="260" t="s">
        <v>402</v>
      </c>
      <c r="J57" s="260"/>
      <c r="K57" s="260"/>
      <c r="L57" s="260"/>
      <c r="M57" s="260"/>
      <c r="N57" s="260"/>
      <c r="O57" s="262"/>
      <c r="P57" s="524">
        <v>5</v>
      </c>
      <c r="Q57" s="491" t="s">
        <v>371</v>
      </c>
      <c r="R57" s="267">
        <v>20000</v>
      </c>
      <c r="S57" s="267">
        <f t="shared" si="2"/>
        <v>100000</v>
      </c>
    </row>
    <row r="58" spans="1:19" s="242" customFormat="1" ht="12.75" customHeight="1">
      <c r="A58" s="283"/>
      <c r="B58" s="284"/>
      <c r="C58" s="875"/>
      <c r="D58" s="875"/>
      <c r="E58" s="491"/>
      <c r="F58" s="491"/>
      <c r="G58" s="491"/>
      <c r="H58" s="489"/>
      <c r="I58" s="260" t="s">
        <v>388</v>
      </c>
      <c r="J58" s="260"/>
      <c r="K58" s="260"/>
      <c r="L58" s="260"/>
      <c r="M58" s="260"/>
      <c r="N58" s="260"/>
      <c r="O58" s="262"/>
      <c r="P58" s="524">
        <v>1</v>
      </c>
      <c r="Q58" s="491" t="s">
        <v>373</v>
      </c>
      <c r="R58" s="267">
        <v>750000</v>
      </c>
      <c r="S58" s="267">
        <f t="shared" si="2"/>
        <v>750000</v>
      </c>
    </row>
    <row r="59" spans="1:19" s="242" customFormat="1" ht="12.75" customHeight="1">
      <c r="A59" s="283"/>
      <c r="B59" s="284"/>
      <c r="C59" s="875"/>
      <c r="D59" s="875"/>
      <c r="E59" s="491"/>
      <c r="F59" s="491"/>
      <c r="G59" s="491"/>
      <c r="H59" s="489"/>
      <c r="I59" s="260" t="s">
        <v>360</v>
      </c>
      <c r="J59" s="260"/>
      <c r="K59" s="260"/>
      <c r="L59" s="260"/>
      <c r="M59" s="260"/>
      <c r="N59" s="260"/>
      <c r="O59" s="262"/>
      <c r="P59" s="524">
        <v>1</v>
      </c>
      <c r="Q59" s="491" t="s">
        <v>55</v>
      </c>
      <c r="R59" s="267">
        <v>20000</v>
      </c>
      <c r="S59" s="267">
        <f t="shared" si="2"/>
        <v>20000</v>
      </c>
    </row>
    <row r="60" spans="1:19" s="242" customFormat="1" ht="12.75" customHeight="1">
      <c r="A60" s="283"/>
      <c r="B60" s="284"/>
      <c r="C60" s="875"/>
      <c r="D60" s="875"/>
      <c r="E60" s="491"/>
      <c r="F60" s="491"/>
      <c r="G60" s="491"/>
      <c r="H60" s="489"/>
      <c r="I60" s="260" t="s">
        <v>361</v>
      </c>
      <c r="J60" s="260"/>
      <c r="K60" s="260"/>
      <c r="L60" s="260"/>
      <c r="M60" s="260"/>
      <c r="N60" s="260"/>
      <c r="O60" s="262"/>
      <c r="P60" s="524">
        <v>1</v>
      </c>
      <c r="Q60" s="491" t="s">
        <v>55</v>
      </c>
      <c r="R60" s="267">
        <v>50000</v>
      </c>
      <c r="S60" s="267">
        <f t="shared" si="2"/>
        <v>50000</v>
      </c>
    </row>
    <row r="61" spans="1:19" s="242" customFormat="1" ht="12.75" customHeight="1">
      <c r="A61" s="283"/>
      <c r="B61" s="284"/>
      <c r="C61" s="875"/>
      <c r="D61" s="875"/>
      <c r="E61" s="491"/>
      <c r="F61" s="491"/>
      <c r="G61" s="491"/>
      <c r="H61" s="489"/>
      <c r="I61" s="260" t="s">
        <v>362</v>
      </c>
      <c r="J61" s="260"/>
      <c r="K61" s="260"/>
      <c r="L61" s="260"/>
      <c r="M61" s="260"/>
      <c r="N61" s="260"/>
      <c r="O61" s="262"/>
      <c r="P61" s="524">
        <v>1</v>
      </c>
      <c r="Q61" s="491" t="s">
        <v>55</v>
      </c>
      <c r="R61" s="267">
        <v>15000</v>
      </c>
      <c r="S61" s="267">
        <f t="shared" si="2"/>
        <v>15000</v>
      </c>
    </row>
    <row r="62" spans="1:19" s="242" customFormat="1" ht="12.75" customHeight="1">
      <c r="A62" s="283"/>
      <c r="B62" s="284"/>
      <c r="C62" s="875"/>
      <c r="D62" s="875"/>
      <c r="E62" s="491"/>
      <c r="F62" s="491"/>
      <c r="G62" s="491"/>
      <c r="H62" s="489"/>
      <c r="I62" s="260" t="s">
        <v>363</v>
      </c>
      <c r="J62" s="260"/>
      <c r="K62" s="260"/>
      <c r="L62" s="260"/>
      <c r="M62" s="260"/>
      <c r="N62" s="260"/>
      <c r="O62" s="262"/>
      <c r="P62" s="524">
        <v>1</v>
      </c>
      <c r="Q62" s="491" t="s">
        <v>374</v>
      </c>
      <c r="R62" s="267">
        <v>160000</v>
      </c>
      <c r="S62" s="267">
        <f t="shared" si="2"/>
        <v>160000</v>
      </c>
    </row>
    <row r="63" spans="1:19" s="242" customFormat="1" ht="12.75" customHeight="1">
      <c r="A63" s="283"/>
      <c r="B63" s="284"/>
      <c r="C63" s="875"/>
      <c r="D63" s="875"/>
      <c r="E63" s="491"/>
      <c r="F63" s="491"/>
      <c r="G63" s="491"/>
      <c r="H63" s="489"/>
      <c r="I63" s="260" t="s">
        <v>364</v>
      </c>
      <c r="J63" s="260"/>
      <c r="K63" s="260"/>
      <c r="L63" s="260"/>
      <c r="M63" s="260"/>
      <c r="N63" s="260"/>
      <c r="O63" s="262"/>
      <c r="P63" s="524">
        <v>1</v>
      </c>
      <c r="Q63" s="491" t="s">
        <v>55</v>
      </c>
      <c r="R63" s="267">
        <v>413300</v>
      </c>
      <c r="S63" s="267">
        <f t="shared" si="1"/>
        <v>413300</v>
      </c>
    </row>
    <row r="64" spans="1:19" s="242" customFormat="1" ht="12.75" customHeight="1">
      <c r="A64" s="283"/>
      <c r="B64" s="284"/>
      <c r="C64" s="886"/>
      <c r="D64" s="887"/>
      <c r="E64" s="335"/>
      <c r="F64" s="335"/>
      <c r="G64" s="335"/>
      <c r="H64" s="334"/>
      <c r="I64" s="337" t="s">
        <v>569</v>
      </c>
      <c r="J64" s="337"/>
      <c r="K64" s="337"/>
      <c r="L64" s="337"/>
      <c r="M64" s="337"/>
      <c r="N64" s="337"/>
      <c r="O64" s="390"/>
      <c r="P64" s="526">
        <v>1</v>
      </c>
      <c r="Q64" s="335" t="s">
        <v>374</v>
      </c>
      <c r="R64" s="340">
        <v>450000</v>
      </c>
      <c r="S64" s="340">
        <f t="shared" si="1"/>
        <v>450000</v>
      </c>
    </row>
    <row r="65" spans="1:19" s="242" customFormat="1" ht="15" customHeight="1">
      <c r="A65" s="283"/>
      <c r="B65" s="284"/>
      <c r="C65" s="872"/>
      <c r="D65" s="872"/>
      <c r="E65" s="488"/>
      <c r="F65" s="488"/>
      <c r="G65" s="488"/>
      <c r="H65" s="848" t="s">
        <v>163</v>
      </c>
      <c r="I65" s="849"/>
      <c r="J65" s="849"/>
      <c r="K65" s="849"/>
      <c r="L65" s="849"/>
      <c r="M65" s="849"/>
      <c r="N65" s="849"/>
      <c r="O65" s="850"/>
      <c r="P65" s="449"/>
      <c r="Q65" s="449"/>
      <c r="R65" s="349"/>
      <c r="S65" s="350">
        <f>SUM(S17+S23)</f>
        <v>23912250</v>
      </c>
    </row>
    <row r="66" spans="1:19" s="242" customFormat="1" ht="15" customHeight="1">
      <c r="A66" s="283"/>
      <c r="B66" s="284"/>
      <c r="C66" s="355"/>
      <c r="D66" s="355"/>
      <c r="E66" s="355"/>
      <c r="F66" s="355"/>
      <c r="G66" s="355"/>
      <c r="H66" s="533"/>
      <c r="I66" s="533"/>
      <c r="J66" s="533"/>
      <c r="K66" s="533"/>
      <c r="L66" s="533"/>
      <c r="M66" s="533"/>
      <c r="N66" s="533"/>
      <c r="O66" s="533"/>
      <c r="P66" s="357"/>
      <c r="Q66" s="357"/>
      <c r="R66" s="358"/>
      <c r="S66" s="534"/>
    </row>
    <row r="67" spans="1:19" s="242" customFormat="1" ht="15" customHeight="1">
      <c r="A67" s="283"/>
      <c r="B67" s="284"/>
      <c r="C67" s="338"/>
      <c r="D67" s="338"/>
      <c r="E67" s="338"/>
      <c r="F67" s="338"/>
      <c r="G67" s="338"/>
      <c r="H67" s="535"/>
      <c r="I67" s="535"/>
      <c r="J67" s="535"/>
      <c r="K67" s="535"/>
      <c r="L67" s="535"/>
      <c r="M67" s="535"/>
      <c r="N67" s="535"/>
      <c r="O67" s="535"/>
      <c r="P67" s="337"/>
      <c r="Q67" s="337"/>
      <c r="R67" s="361"/>
      <c r="S67" s="536"/>
    </row>
    <row r="68" spans="1:19" s="242" customFormat="1" ht="15" customHeight="1">
      <c r="A68" s="283"/>
      <c r="B68" s="284"/>
      <c r="C68" s="338"/>
      <c r="D68" s="338"/>
      <c r="E68" s="338"/>
      <c r="F68" s="338"/>
      <c r="G68" s="338"/>
      <c r="H68" s="535"/>
      <c r="I68" s="535"/>
      <c r="J68" s="535"/>
      <c r="K68" s="535"/>
      <c r="L68" s="535"/>
      <c r="M68" s="535"/>
      <c r="N68" s="535"/>
      <c r="O68" s="535"/>
      <c r="P68" s="337"/>
      <c r="Q68" s="337"/>
      <c r="R68" s="361"/>
      <c r="S68" s="536"/>
    </row>
    <row r="69" spans="1:19" s="242" customFormat="1" ht="15" customHeight="1">
      <c r="A69" s="283"/>
      <c r="B69" s="284"/>
      <c r="C69" s="338"/>
      <c r="D69" s="338"/>
      <c r="E69" s="338"/>
      <c r="F69" s="338"/>
      <c r="G69" s="338"/>
      <c r="H69" s="535"/>
      <c r="I69" s="535"/>
      <c r="J69" s="535"/>
      <c r="K69" s="535"/>
      <c r="L69" s="535"/>
      <c r="M69" s="535"/>
      <c r="N69" s="535"/>
      <c r="O69" s="535"/>
      <c r="P69" s="337"/>
      <c r="Q69" s="337"/>
      <c r="R69" s="361"/>
      <c r="S69" s="536"/>
    </row>
    <row r="70" spans="1:19" s="242" customFormat="1" ht="15" customHeight="1">
      <c r="A70" s="283"/>
      <c r="B70" s="284"/>
      <c r="C70" s="338"/>
      <c r="D70" s="338"/>
      <c r="E70" s="338"/>
      <c r="F70" s="338"/>
      <c r="G70" s="338"/>
      <c r="H70" s="535"/>
      <c r="I70" s="535"/>
      <c r="J70" s="535"/>
      <c r="K70" s="535"/>
      <c r="L70" s="535"/>
      <c r="M70" s="535"/>
      <c r="N70" s="535"/>
      <c r="O70" s="535"/>
      <c r="P70" s="337"/>
      <c r="Q70" s="337"/>
      <c r="R70" s="361"/>
      <c r="S70" s="536"/>
    </row>
    <row r="71" spans="1:19" s="242" customFormat="1" ht="15" customHeight="1">
      <c r="A71" s="283"/>
      <c r="B71" s="284"/>
      <c r="C71" s="338"/>
      <c r="D71" s="338"/>
      <c r="E71" s="338"/>
      <c r="F71" s="338"/>
      <c r="G71" s="338"/>
      <c r="H71" s="535"/>
      <c r="I71" s="535"/>
      <c r="J71" s="535"/>
      <c r="K71" s="535"/>
      <c r="L71" s="535"/>
      <c r="M71" s="535"/>
      <c r="N71" s="535"/>
      <c r="O71" s="535"/>
      <c r="P71" s="337"/>
      <c r="Q71" s="337"/>
      <c r="R71" s="361"/>
      <c r="S71" s="536"/>
    </row>
    <row r="72" spans="1:19" s="242" customFormat="1" ht="15" customHeight="1">
      <c r="A72" s="283"/>
      <c r="B72" s="284"/>
      <c r="C72" s="338"/>
      <c r="D72" s="338"/>
      <c r="E72" s="338"/>
      <c r="F72" s="338"/>
      <c r="G72" s="338"/>
      <c r="H72" s="535"/>
      <c r="I72" s="535"/>
      <c r="J72" s="535"/>
      <c r="K72" s="535"/>
      <c r="L72" s="535"/>
      <c r="M72" s="535"/>
      <c r="N72" s="535"/>
      <c r="O72" s="535"/>
      <c r="P72" s="337"/>
      <c r="Q72" s="337"/>
      <c r="R72" s="361"/>
      <c r="S72" s="536"/>
    </row>
    <row r="73" spans="1:19" s="242" customFormat="1" ht="15" customHeight="1">
      <c r="A73" s="283"/>
      <c r="B73" s="284"/>
      <c r="C73" s="338"/>
      <c r="D73" s="338"/>
      <c r="E73" s="338"/>
      <c r="F73" s="338"/>
      <c r="G73" s="338"/>
      <c r="H73" s="535"/>
      <c r="I73" s="535"/>
      <c r="J73" s="535"/>
      <c r="K73" s="535"/>
      <c r="L73" s="535"/>
      <c r="M73" s="535"/>
      <c r="N73" s="535"/>
      <c r="O73" s="535"/>
      <c r="P73" s="337"/>
      <c r="Q73" s="337"/>
      <c r="R73" s="361"/>
      <c r="S73" s="536"/>
    </row>
    <row r="74" spans="1:19" s="242" customFormat="1" ht="15" customHeight="1">
      <c r="A74" s="283"/>
      <c r="B74" s="284"/>
      <c r="C74" s="338"/>
      <c r="D74" s="338"/>
      <c r="E74" s="338"/>
      <c r="F74" s="338"/>
      <c r="G74" s="338"/>
      <c r="H74" s="535"/>
      <c r="I74" s="535"/>
      <c r="J74" s="535"/>
      <c r="K74" s="535"/>
      <c r="L74" s="535"/>
      <c r="M74" s="535"/>
      <c r="N74" s="535"/>
      <c r="O74" s="535"/>
      <c r="P74" s="337"/>
      <c r="Q74" s="337"/>
      <c r="R74" s="361"/>
      <c r="S74" s="536"/>
    </row>
    <row r="75" spans="1:19" s="242" customFormat="1" ht="15" customHeight="1">
      <c r="A75" s="283"/>
      <c r="B75" s="284"/>
      <c r="C75" s="338"/>
      <c r="D75" s="338"/>
      <c r="E75" s="338"/>
      <c r="F75" s="338"/>
      <c r="G75" s="338"/>
      <c r="H75" s="535"/>
      <c r="I75" s="535"/>
      <c r="J75" s="535"/>
      <c r="K75" s="535"/>
      <c r="L75" s="535"/>
      <c r="M75" s="535"/>
      <c r="N75" s="535"/>
      <c r="O75" s="535"/>
      <c r="P75" s="337"/>
      <c r="Q75" s="337"/>
      <c r="R75" s="361"/>
      <c r="S75" s="536"/>
    </row>
    <row r="76" spans="1:19" s="242" customFormat="1" ht="15" customHeight="1">
      <c r="A76" s="283"/>
      <c r="B76" s="284"/>
      <c r="C76" s="338"/>
      <c r="D76" s="338"/>
      <c r="E76" s="338"/>
      <c r="F76" s="338"/>
      <c r="G76" s="338"/>
      <c r="H76" s="535"/>
      <c r="I76" s="535"/>
      <c r="J76" s="535"/>
      <c r="K76" s="535"/>
      <c r="L76" s="535"/>
      <c r="M76" s="535"/>
      <c r="N76" s="535"/>
      <c r="O76" s="535"/>
      <c r="P76" s="337"/>
      <c r="Q76" s="337"/>
      <c r="R76" s="361"/>
      <c r="S76" s="536"/>
    </row>
    <row r="77" spans="1:19" s="242" customFormat="1" ht="15" customHeight="1">
      <c r="A77" s="283"/>
      <c r="B77" s="284"/>
      <c r="C77" s="363"/>
      <c r="D77" s="363"/>
      <c r="E77" s="363"/>
      <c r="F77" s="363"/>
      <c r="G77" s="363"/>
      <c r="H77" s="537"/>
      <c r="I77" s="537"/>
      <c r="J77" s="537"/>
      <c r="K77" s="537"/>
      <c r="L77" s="537"/>
      <c r="M77" s="537"/>
      <c r="N77" s="537"/>
      <c r="O77" s="537"/>
      <c r="P77" s="364"/>
      <c r="Q77" s="364"/>
      <c r="R77" s="365"/>
      <c r="S77" s="538"/>
    </row>
    <row r="78" spans="1:19" s="242" customFormat="1" ht="16.5">
      <c r="A78" s="283"/>
      <c r="B78" s="284"/>
      <c r="C78" s="450"/>
      <c r="D78" s="451"/>
      <c r="E78" s="451"/>
      <c r="F78" s="451"/>
      <c r="G78" s="451"/>
      <c r="H78" s="452"/>
      <c r="I78" s="452"/>
      <c r="J78" s="452"/>
      <c r="K78" s="354"/>
      <c r="L78" s="354"/>
      <c r="M78" s="354"/>
      <c r="N78" s="354"/>
      <c r="O78" s="354"/>
      <c r="P78" s="354"/>
      <c r="Q78" s="354"/>
      <c r="R78" s="453"/>
      <c r="S78" s="454"/>
    </row>
    <row r="79" spans="1:19" s="242" customFormat="1" ht="16.5">
      <c r="A79" s="283"/>
      <c r="B79" s="284"/>
      <c r="C79" s="351"/>
      <c r="D79" s="286"/>
      <c r="E79" s="286"/>
      <c r="F79" s="286"/>
      <c r="G79" s="286"/>
      <c r="H79" s="455"/>
      <c r="I79" s="455"/>
      <c r="J79" s="455"/>
      <c r="K79" s="284"/>
      <c r="L79" s="284"/>
      <c r="M79" s="284"/>
      <c r="N79" s="284"/>
      <c r="O79" s="284"/>
      <c r="P79" s="284"/>
      <c r="Q79" s="284"/>
      <c r="R79" s="352"/>
      <c r="S79" s="353"/>
    </row>
    <row r="80" spans="1:19" s="242" customFormat="1" ht="16.5">
      <c r="A80" s="283"/>
      <c r="B80" s="284"/>
      <c r="C80" s="351"/>
      <c r="D80" s="286"/>
      <c r="E80" s="286"/>
      <c r="F80" s="286"/>
      <c r="G80" s="286"/>
      <c r="H80" s="455"/>
      <c r="I80" s="455"/>
      <c r="J80" s="455"/>
      <c r="K80" s="284"/>
      <c r="L80" s="284"/>
      <c r="M80" s="284"/>
      <c r="N80" s="284"/>
      <c r="O80" s="284"/>
      <c r="P80" s="284"/>
      <c r="Q80" s="284"/>
      <c r="R80" s="352" t="s">
        <v>553</v>
      </c>
      <c r="S80" s="353"/>
    </row>
    <row r="81" spans="1:19" s="242" customFormat="1" ht="16.5">
      <c r="A81" s="283"/>
      <c r="B81" s="284"/>
      <c r="C81" s="283"/>
      <c r="D81" s="284"/>
      <c r="E81" s="284"/>
      <c r="F81" s="284"/>
      <c r="G81" s="284"/>
      <c r="H81" s="284"/>
      <c r="I81" s="286" t="s">
        <v>168</v>
      </c>
      <c r="J81" s="284"/>
      <c r="K81" s="284"/>
      <c r="L81" s="284"/>
      <c r="M81" s="284"/>
      <c r="N81" s="284"/>
      <c r="O81" s="284"/>
      <c r="P81" s="284"/>
      <c r="Q81" s="284"/>
      <c r="R81" s="469" t="s">
        <v>193</v>
      </c>
      <c r="S81" s="285"/>
    </row>
    <row r="82" spans="1:19" s="242" customFormat="1" ht="16.5">
      <c r="A82" s="283"/>
      <c r="B82" s="284"/>
      <c r="C82" s="283"/>
      <c r="D82" s="284"/>
      <c r="E82" s="284"/>
      <c r="F82" s="284"/>
      <c r="G82" s="284"/>
      <c r="H82" s="284"/>
      <c r="I82" s="286" t="s">
        <v>298</v>
      </c>
      <c r="J82" s="284"/>
      <c r="K82" s="284"/>
      <c r="L82" s="284"/>
      <c r="M82" s="284"/>
      <c r="N82" s="284"/>
      <c r="O82" s="284"/>
      <c r="P82" s="284"/>
      <c r="Q82" s="284"/>
      <c r="R82" s="284"/>
      <c r="S82" s="285"/>
    </row>
    <row r="83" spans="1:19" s="242" customFormat="1" ht="15" customHeight="1">
      <c r="A83" s="283"/>
      <c r="B83" s="284"/>
      <c r="C83" s="283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5"/>
    </row>
    <row r="84" spans="1:19" s="242" customFormat="1" ht="15" customHeight="1">
      <c r="A84" s="283"/>
      <c r="B84" s="284"/>
      <c r="C84" s="283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5"/>
    </row>
    <row r="85" spans="1:19" s="242" customFormat="1" ht="15" customHeight="1">
      <c r="A85" s="283"/>
      <c r="B85" s="284"/>
      <c r="C85" s="283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5"/>
    </row>
    <row r="86" spans="1:19" s="242" customFormat="1" ht="15" customHeight="1">
      <c r="A86" s="283"/>
      <c r="B86" s="284"/>
      <c r="C86" s="283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5"/>
    </row>
    <row r="87" spans="1:19" s="242" customFormat="1" ht="15" customHeight="1">
      <c r="A87" s="283"/>
      <c r="B87" s="284"/>
      <c r="C87" s="283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5"/>
    </row>
    <row r="88" spans="1:19" s="242" customFormat="1" ht="16.5">
      <c r="A88" s="283"/>
      <c r="B88" s="284"/>
      <c r="C88" s="283"/>
      <c r="D88" s="284"/>
      <c r="E88" s="284"/>
      <c r="F88" s="284"/>
      <c r="G88" s="284"/>
      <c r="H88" s="284"/>
      <c r="I88" s="303" t="s">
        <v>304</v>
      </c>
      <c r="J88" s="284"/>
      <c r="K88" s="284"/>
      <c r="L88" s="284"/>
      <c r="M88" s="284"/>
      <c r="N88" s="284"/>
      <c r="O88" s="284"/>
      <c r="P88" s="284"/>
      <c r="Q88" s="284"/>
      <c r="R88" s="381" t="s">
        <v>322</v>
      </c>
      <c r="S88" s="285"/>
    </row>
    <row r="89" spans="1:19" s="242" customFormat="1" ht="16.5">
      <c r="A89" s="287"/>
      <c r="B89" s="288"/>
      <c r="C89" s="287"/>
      <c r="D89" s="288"/>
      <c r="E89" s="288"/>
      <c r="F89" s="288"/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9"/>
    </row>
    <row r="90" spans="1:19" s="242" customFormat="1" ht="16.5"/>
    <row r="91" spans="1:19" s="242" customFormat="1" ht="16.5"/>
    <row r="92" spans="1:19" s="242" customFormat="1" ht="16.5"/>
    <row r="93" spans="1:19" s="242" customFormat="1" ht="16.5"/>
    <row r="94" spans="1:19" s="242" customFormat="1" ht="16.5"/>
    <row r="95" spans="1:19" s="242" customFormat="1" ht="16.5"/>
    <row r="96" spans="1:19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  <row r="193" s="242" customFormat="1" ht="16.5"/>
    <row r="194" s="242" customFormat="1" ht="16.5"/>
    <row r="195" s="242" customFormat="1" ht="16.5"/>
    <row r="196" s="242" customFormat="1" ht="16.5"/>
    <row r="197" s="242" customFormat="1" ht="16.5"/>
    <row r="198" s="242" customFormat="1" ht="16.5"/>
    <row r="199" s="242" customFormat="1" ht="16.5"/>
    <row r="200" s="242" customFormat="1" ht="16.5"/>
    <row r="201" s="242" customFormat="1" ht="16.5"/>
    <row r="202" s="242" customFormat="1" ht="16.5"/>
    <row r="203" s="242" customFormat="1" ht="16.5"/>
    <row r="204" s="242" customFormat="1" ht="16.5"/>
    <row r="205" s="242" customFormat="1" ht="16.5"/>
    <row r="206" s="242" customFormat="1" ht="16.5"/>
    <row r="207" s="242" customFormat="1" ht="16.5"/>
    <row r="208" s="242" customFormat="1" ht="16.5"/>
    <row r="209" s="242" customFormat="1" ht="16.5"/>
    <row r="210" s="242" customFormat="1" ht="16.5"/>
    <row r="211" s="242" customFormat="1" ht="16.5"/>
    <row r="212" s="242" customFormat="1" ht="16.5"/>
    <row r="213" s="242" customFormat="1" ht="16.5"/>
    <row r="214" s="242" customFormat="1" ht="16.5"/>
    <row r="215" s="242" customFormat="1" ht="16.5"/>
    <row r="216" s="242" customFormat="1" ht="16.5"/>
    <row r="217" s="242" customFormat="1" ht="16.5"/>
    <row r="218" s="242" customFormat="1" ht="16.5"/>
    <row r="219" s="242" customFormat="1" ht="16.5"/>
    <row r="220" s="242" customFormat="1" ht="16.5"/>
    <row r="221" s="242" customFormat="1" ht="16.5"/>
    <row r="222" s="242" customFormat="1" ht="16.5"/>
    <row r="223" s="242" customFormat="1" ht="16.5"/>
    <row r="224" s="242" customFormat="1" ht="16.5"/>
    <row r="225" s="242" customFormat="1" ht="16.5"/>
    <row r="226" s="242" customFormat="1" ht="16.5"/>
    <row r="227" s="242" customFormat="1" ht="16.5"/>
    <row r="228" s="242" customFormat="1" ht="16.5"/>
    <row r="229" s="242" customFormat="1" ht="16.5"/>
    <row r="230" s="242" customFormat="1" ht="16.5"/>
    <row r="231" s="242" customFormat="1" ht="16.5"/>
    <row r="232" s="242" customFormat="1" ht="16.5"/>
    <row r="233" s="242" customFormat="1" ht="16.5"/>
    <row r="234" s="242" customFormat="1" ht="16.5"/>
    <row r="235" s="242" customFormat="1" ht="16.5"/>
    <row r="236" s="242" customFormat="1" ht="16.5"/>
    <row r="237" s="242" customFormat="1" ht="16.5"/>
    <row r="238" s="242" customFormat="1" ht="16.5"/>
    <row r="239" s="242" customFormat="1" ht="16.5"/>
    <row r="240" s="242" customFormat="1" ht="16.5"/>
    <row r="241" s="242" customFormat="1" ht="16.5"/>
    <row r="242" s="242" customFormat="1" ht="16.5"/>
    <row r="243" s="242" customFormat="1" ht="16.5"/>
    <row r="244" s="242" customFormat="1" ht="16.5"/>
    <row r="245" s="242" customFormat="1" ht="16.5"/>
    <row r="246" s="242" customFormat="1" ht="16.5"/>
    <row r="247" s="242" customFormat="1" ht="16.5"/>
    <row r="248" s="242" customFormat="1" ht="16.5"/>
    <row r="249" s="242" customFormat="1" ht="16.5"/>
    <row r="250" s="242" customFormat="1" ht="16.5"/>
    <row r="251" s="242" customFormat="1" ht="16.5"/>
    <row r="252" s="242" customFormat="1" ht="16.5"/>
    <row r="253" s="242" customFormat="1" ht="16.5"/>
    <row r="254" s="242" customFormat="1" ht="16.5"/>
    <row r="255" s="242" customFormat="1" ht="16.5"/>
    <row r="256" s="242" customFormat="1" ht="16.5"/>
    <row r="257" s="242" customFormat="1" ht="16.5"/>
    <row r="258" s="242" customFormat="1" ht="16.5"/>
    <row r="259" s="242" customFormat="1" ht="16.5"/>
    <row r="260" s="242" customFormat="1" ht="16.5"/>
    <row r="261" s="242" customFormat="1" ht="16.5"/>
    <row r="262" s="242" customFormat="1" ht="16.5"/>
    <row r="263" s="242" customFormat="1" ht="16.5"/>
    <row r="264" s="242" customFormat="1" ht="16.5"/>
    <row r="265" s="242" customFormat="1" ht="16.5"/>
    <row r="266" s="242" customFormat="1" ht="16.5"/>
    <row r="267" s="242" customFormat="1" ht="16.5"/>
    <row r="268" s="242" customFormat="1" ht="16.5"/>
    <row r="269" s="242" customFormat="1" ht="16.5"/>
    <row r="270" s="242" customFormat="1" ht="16.5"/>
    <row r="271" s="242" customFormat="1" ht="16.5"/>
    <row r="272" s="242" customFormat="1" ht="16.5"/>
    <row r="273" s="242" customFormat="1" ht="16.5"/>
    <row r="274" s="242" customFormat="1" ht="16.5"/>
    <row r="275" s="242" customFormat="1" ht="16.5"/>
    <row r="276" s="242" customFormat="1" ht="16.5"/>
    <row r="277" s="242" customFormat="1" ht="16.5"/>
    <row r="278" s="242" customFormat="1" ht="16.5"/>
    <row r="279" s="242" customFormat="1" ht="16.5"/>
    <row r="280" s="242" customFormat="1" ht="16.5"/>
    <row r="281" s="242" customFormat="1" ht="16.5"/>
    <row r="282" s="242" customFormat="1" ht="16.5"/>
    <row r="283" s="242" customFormat="1" ht="16.5"/>
    <row r="284" s="242" customFormat="1" ht="16.5"/>
    <row r="285" s="242" customFormat="1" ht="16.5"/>
    <row r="286" s="242" customFormat="1" ht="16.5"/>
    <row r="287" s="242" customFormat="1" ht="16.5"/>
    <row r="288" s="242" customFormat="1" ht="16.5"/>
    <row r="289" s="242" customFormat="1" ht="16.5"/>
    <row r="290" s="242" customFormat="1" ht="16.5"/>
    <row r="291" s="242" customFormat="1" ht="16.5"/>
    <row r="292" s="242" customFormat="1" ht="16.5"/>
    <row r="293" s="242" customFormat="1" ht="16.5"/>
    <row r="294" s="242" customFormat="1" ht="16.5"/>
    <row r="295" s="242" customFormat="1" ht="16.5"/>
    <row r="296" s="242" customFormat="1" ht="16.5"/>
    <row r="297" s="242" customFormat="1" ht="16.5"/>
    <row r="298" s="242" customFormat="1" ht="16.5"/>
    <row r="299" s="242" customFormat="1" ht="16.5"/>
    <row r="300" s="242" customFormat="1" ht="16.5"/>
    <row r="301" s="242" customFormat="1" ht="16.5"/>
    <row r="302" s="242" customFormat="1" ht="16.5"/>
    <row r="303" s="242" customFormat="1" ht="16.5"/>
    <row r="304" s="242" customFormat="1" ht="16.5"/>
    <row r="305" s="242" customFormat="1" ht="16.5"/>
    <row r="306" s="242" customFormat="1" ht="16.5"/>
    <row r="307" s="242" customFormat="1" ht="16.5"/>
    <row r="308" s="242" customFormat="1" ht="16.5"/>
    <row r="309" s="242" customFormat="1" ht="16.5"/>
    <row r="310" s="242" customFormat="1" ht="16.5"/>
    <row r="311" s="242" customFormat="1" ht="16.5"/>
    <row r="312" s="242" customFormat="1" ht="16.5"/>
    <row r="313" s="242" customFormat="1" ht="16.5"/>
    <row r="314" s="242" customFormat="1" ht="16.5"/>
    <row r="315" s="242" customFormat="1" ht="16.5"/>
    <row r="316" s="242" customFormat="1" ht="16.5"/>
    <row r="317" s="242" customFormat="1" ht="16.5"/>
    <row r="318" s="242" customFormat="1" ht="16.5"/>
    <row r="319" s="242" customFormat="1" ht="16.5"/>
    <row r="320" s="242" customFormat="1" ht="16.5"/>
    <row r="321" s="242" customFormat="1" ht="16.5"/>
    <row r="322" s="242" customFormat="1" ht="16.5"/>
    <row r="323" s="242" customFormat="1" ht="16.5"/>
    <row r="324" s="242" customFormat="1" ht="16.5"/>
    <row r="325" s="242" customFormat="1" ht="16.5"/>
    <row r="326" s="242" customFormat="1" ht="16.5"/>
    <row r="327" s="242" customFormat="1" ht="16.5"/>
    <row r="328" s="242" customFormat="1" ht="16.5"/>
    <row r="329" s="242" customFormat="1" ht="16.5"/>
    <row r="330" s="242" customFormat="1" ht="16.5"/>
    <row r="331" s="242" customFormat="1" ht="16.5"/>
    <row r="332" s="242" customFormat="1" ht="16.5"/>
    <row r="333" s="242" customFormat="1" ht="16.5"/>
    <row r="334" s="242" customFormat="1" ht="16.5"/>
    <row r="335" s="242" customFormat="1" ht="16.5"/>
    <row r="336" s="242" customFormat="1" ht="16.5"/>
    <row r="337" s="242" customFormat="1" ht="16.5"/>
    <row r="338" s="242" customFormat="1" ht="16.5"/>
    <row r="339" s="242" customFormat="1" ht="16.5"/>
    <row r="340" s="242" customFormat="1" ht="16.5"/>
    <row r="341" s="242" customFormat="1" ht="16.5"/>
    <row r="342" s="242" customFormat="1" ht="16.5"/>
    <row r="343" s="242" customFormat="1" ht="16.5"/>
    <row r="344" s="242" customFormat="1" ht="16.5"/>
    <row r="345" s="242" customFormat="1" ht="16.5"/>
    <row r="346" s="242" customFormat="1" ht="16.5"/>
    <row r="347" s="242" customFormat="1" ht="16.5"/>
    <row r="348" s="242" customFormat="1" ht="16.5"/>
    <row r="349" s="242" customFormat="1" ht="16.5"/>
    <row r="350" s="242" customFormat="1" ht="16.5"/>
    <row r="351" s="242" customFormat="1" ht="16.5"/>
    <row r="352" s="242" customFormat="1" ht="16.5"/>
    <row r="353" s="28" customFormat="1"/>
    <row r="354" s="28" customFormat="1"/>
    <row r="355" s="28" customFormat="1"/>
    <row r="356" s="28" customFormat="1"/>
    <row r="357" s="28" customFormat="1"/>
    <row r="358" s="28" customFormat="1"/>
    <row r="359" s="28" customFormat="1"/>
    <row r="360" s="28" customFormat="1"/>
  </sheetData>
  <mergeCells count="60">
    <mergeCell ref="C16:G16"/>
    <mergeCell ref="C1:S1"/>
    <mergeCell ref="C2:S2"/>
    <mergeCell ref="C3:S3"/>
    <mergeCell ref="L5:S5"/>
    <mergeCell ref="L7:S7"/>
    <mergeCell ref="C14:G15"/>
    <mergeCell ref="H14:O15"/>
    <mergeCell ref="P14:P15"/>
    <mergeCell ref="Q14:Q15"/>
    <mergeCell ref="S14:S15"/>
    <mergeCell ref="C29:D29"/>
    <mergeCell ref="C17:D17"/>
    <mergeCell ref="I17:K17"/>
    <mergeCell ref="C18:D18"/>
    <mergeCell ref="C19:D19"/>
    <mergeCell ref="C22:D22"/>
    <mergeCell ref="C23:D23"/>
    <mergeCell ref="C24:D24"/>
    <mergeCell ref="C25:D25"/>
    <mergeCell ref="C26:D26"/>
    <mergeCell ref="C27:D27"/>
    <mergeCell ref="C28:D28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H65:O65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5:D65"/>
    <mergeCell ref="C64:D64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T201"/>
  <sheetViews>
    <sheetView topLeftCell="A11" zoomScaleSheetLayoutView="90" workbookViewId="0">
      <selection activeCell="Q43" sqref="Q43"/>
    </sheetView>
  </sheetViews>
  <sheetFormatPr defaultRowHeight="15"/>
  <cols>
    <col min="1" max="1" width="2" customWidth="1"/>
    <col min="2" max="2" width="1.42578125" customWidth="1"/>
    <col min="3" max="5" width="2.7109375" customWidth="1"/>
    <col min="6" max="6" width="1.7109375" customWidth="1"/>
    <col min="7" max="7" width="17.5703125" customWidth="1"/>
    <col min="8" max="8" width="1.5703125" hidden="1" customWidth="1"/>
    <col min="9" max="9" width="3.5703125" customWidth="1"/>
    <col min="10" max="10" width="5" customWidth="1"/>
    <col min="11" max="11" width="3.28515625" customWidth="1"/>
    <col min="12" max="13" width="5.42578125" customWidth="1"/>
    <col min="14" max="14" width="7.28515625" customWidth="1"/>
    <col min="15" max="15" width="7.140625" customWidth="1"/>
    <col min="16" max="16" width="14" customWidth="1"/>
    <col min="17" max="17" width="16" customWidth="1"/>
    <col min="19" max="19" width="12.140625" bestFit="1" customWidth="1"/>
    <col min="20" max="20" width="15.28515625" bestFit="1" customWidth="1"/>
  </cols>
  <sheetData>
    <row r="1" spans="1:17" s="242" customFormat="1" ht="18.75">
      <c r="A1" s="892" t="s">
        <v>6</v>
      </c>
      <c r="B1" s="892"/>
      <c r="C1" s="892"/>
      <c r="D1" s="892"/>
      <c r="E1" s="892"/>
      <c r="F1" s="892"/>
      <c r="G1" s="892"/>
      <c r="H1" s="892"/>
      <c r="I1" s="892"/>
      <c r="J1" s="892"/>
      <c r="K1" s="892"/>
      <c r="L1" s="892"/>
      <c r="M1" s="892"/>
      <c r="N1" s="892"/>
      <c r="O1" s="892"/>
      <c r="P1" s="892"/>
      <c r="Q1" s="892"/>
    </row>
    <row r="2" spans="1:17" s="242" customFormat="1" ht="18.75">
      <c r="A2" s="892" t="s">
        <v>292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892"/>
      <c r="N2" s="892"/>
      <c r="O2" s="892"/>
      <c r="P2" s="892"/>
      <c r="Q2" s="892"/>
    </row>
    <row r="3" spans="1:17" s="242" customFormat="1" ht="18.75">
      <c r="A3" s="892" t="s">
        <v>211</v>
      </c>
      <c r="B3" s="892"/>
      <c r="C3" s="892"/>
      <c r="D3" s="892"/>
      <c r="E3" s="892"/>
      <c r="F3" s="892"/>
      <c r="G3" s="892"/>
      <c r="H3" s="892"/>
      <c r="I3" s="892"/>
      <c r="J3" s="892"/>
      <c r="K3" s="892"/>
      <c r="L3" s="892"/>
      <c r="M3" s="892"/>
      <c r="N3" s="892"/>
      <c r="O3" s="892"/>
      <c r="P3" s="892"/>
      <c r="Q3" s="892"/>
    </row>
    <row r="4" spans="1:17" s="242" customFormat="1" ht="18.75">
      <c r="A4" s="506"/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</row>
    <row r="5" spans="1:17" s="242" customFormat="1" ht="10.5" customHeight="1"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</row>
    <row r="6" spans="1:17" s="242" customFormat="1" ht="16.5">
      <c r="A6" s="242" t="s">
        <v>7</v>
      </c>
      <c r="B6" s="509" t="s">
        <v>10</v>
      </c>
      <c r="C6" s="509"/>
      <c r="D6" s="509"/>
      <c r="E6" s="509"/>
      <c r="F6" s="509"/>
      <c r="G6" s="510"/>
      <c r="H6" s="510" t="s">
        <v>12</v>
      </c>
      <c r="I6" s="510" t="s">
        <v>12</v>
      </c>
      <c r="J6" s="893" t="s">
        <v>285</v>
      </c>
      <c r="K6" s="893"/>
      <c r="L6" s="893"/>
      <c r="M6" s="893"/>
      <c r="N6" s="893"/>
      <c r="O6" s="893"/>
      <c r="P6" s="893"/>
      <c r="Q6" s="893"/>
    </row>
    <row r="7" spans="1:17" s="242" customFormat="1" ht="16.5">
      <c r="A7" s="242" t="s">
        <v>8</v>
      </c>
      <c r="B7" s="509" t="s">
        <v>11</v>
      </c>
      <c r="C7" s="509"/>
      <c r="D7" s="509"/>
      <c r="E7" s="509"/>
      <c r="F7" s="509"/>
      <c r="G7" s="510"/>
      <c r="H7" s="510" t="s">
        <v>12</v>
      </c>
      <c r="I7" s="510" t="s">
        <v>12</v>
      </c>
      <c r="J7" s="509" t="s">
        <v>487</v>
      </c>
      <c r="K7" s="509"/>
      <c r="L7" s="509"/>
      <c r="M7" s="509"/>
      <c r="N7" s="509"/>
      <c r="O7" s="509"/>
      <c r="P7" s="509"/>
      <c r="Q7" s="509"/>
    </row>
    <row r="8" spans="1:17" s="242" customFormat="1" ht="16.5">
      <c r="A8" s="242" t="s">
        <v>9</v>
      </c>
      <c r="B8" s="509" t="s">
        <v>22</v>
      </c>
      <c r="C8" s="509"/>
      <c r="D8" s="509"/>
      <c r="E8" s="509"/>
      <c r="F8" s="509"/>
      <c r="G8" s="510"/>
      <c r="H8" s="510" t="s">
        <v>12</v>
      </c>
      <c r="I8" s="510" t="s">
        <v>12</v>
      </c>
      <c r="J8" s="893" t="s">
        <v>76</v>
      </c>
      <c r="K8" s="893"/>
      <c r="L8" s="893"/>
      <c r="M8" s="893"/>
      <c r="N8" s="893"/>
      <c r="O8" s="893"/>
      <c r="P8" s="893"/>
      <c r="Q8" s="893"/>
    </row>
    <row r="9" spans="1:17" s="242" customFormat="1" ht="16.5">
      <c r="A9" s="512" t="s">
        <v>312</v>
      </c>
      <c r="B9" s="509" t="s">
        <v>216</v>
      </c>
      <c r="C9" s="509"/>
      <c r="D9" s="509"/>
      <c r="E9" s="509"/>
      <c r="F9" s="509"/>
      <c r="G9" s="510"/>
      <c r="H9" s="510"/>
      <c r="I9" s="510" t="s">
        <v>12</v>
      </c>
      <c r="J9" s="511" t="s">
        <v>288</v>
      </c>
      <c r="K9" s="511"/>
      <c r="L9" s="511"/>
      <c r="M9" s="511"/>
      <c r="N9" s="511"/>
      <c r="O9" s="511"/>
      <c r="P9" s="511"/>
      <c r="Q9" s="511"/>
    </row>
    <row r="10" spans="1:17" s="242" customFormat="1" ht="5.25" customHeight="1">
      <c r="A10" s="512"/>
      <c r="B10" s="509"/>
      <c r="C10" s="509"/>
      <c r="D10" s="509"/>
      <c r="E10" s="509"/>
      <c r="F10" s="509"/>
      <c r="G10" s="510"/>
      <c r="H10" s="510"/>
      <c r="I10" s="510"/>
      <c r="J10" s="511"/>
      <c r="K10" s="511"/>
      <c r="L10" s="511"/>
      <c r="M10" s="511"/>
      <c r="N10" s="511"/>
      <c r="O10" s="511"/>
      <c r="P10" s="511"/>
      <c r="Q10" s="511"/>
    </row>
    <row r="11" spans="1:17" s="243" customFormat="1" ht="12.75">
      <c r="A11" s="539" t="s">
        <v>218</v>
      </c>
      <c r="B11" s="539"/>
      <c r="C11" s="539"/>
      <c r="D11" s="539"/>
      <c r="E11" s="539"/>
      <c r="F11" s="539"/>
      <c r="G11" s="507"/>
      <c r="H11" s="507"/>
      <c r="I11" s="507"/>
      <c r="J11" s="508"/>
      <c r="K11" s="508"/>
      <c r="L11" s="508"/>
      <c r="M11" s="508"/>
      <c r="N11" s="508"/>
      <c r="O11" s="508"/>
      <c r="P11" s="508"/>
      <c r="Q11" s="508"/>
    </row>
    <row r="12" spans="1:17" s="242" customFormat="1" ht="4.5" customHeight="1"/>
    <row r="13" spans="1:17" s="243" customFormat="1" ht="15.7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479" t="s">
        <v>4</v>
      </c>
      <c r="Q13" s="780" t="s">
        <v>3</v>
      </c>
    </row>
    <row r="14" spans="1:17" s="243" customFormat="1" ht="16.5" customHeight="1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480" t="s">
        <v>5</v>
      </c>
      <c r="Q14" s="781"/>
    </row>
    <row r="15" spans="1:17" s="237" customFormat="1" ht="13.5">
      <c r="A15" s="864">
        <v>1</v>
      </c>
      <c r="B15" s="865"/>
      <c r="C15" s="865"/>
      <c r="D15" s="865"/>
      <c r="E15" s="866"/>
      <c r="F15" s="476"/>
      <c r="G15" s="477">
        <v>2</v>
      </c>
      <c r="H15" s="477"/>
      <c r="I15" s="477"/>
      <c r="J15" s="477"/>
      <c r="K15" s="477"/>
      <c r="L15" s="477"/>
      <c r="M15" s="478"/>
      <c r="N15" s="239">
        <v>3</v>
      </c>
      <c r="O15" s="239"/>
      <c r="P15" s="239">
        <v>4</v>
      </c>
      <c r="Q15" s="239">
        <v>5</v>
      </c>
    </row>
    <row r="16" spans="1:17" s="383" customFormat="1" ht="20.25" customHeight="1">
      <c r="A16" s="879">
        <v>2</v>
      </c>
      <c r="B16" s="880"/>
      <c r="C16" s="492">
        <v>7</v>
      </c>
      <c r="D16" s="492">
        <v>2</v>
      </c>
      <c r="E16" s="492">
        <v>2</v>
      </c>
      <c r="F16" s="432" t="s">
        <v>14</v>
      </c>
      <c r="G16" s="474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SUM(Q20+Q26+Q31+Q36)+Q17</f>
        <v>3636500</v>
      </c>
    </row>
    <row r="17" spans="1:19" s="383" customFormat="1" ht="15" customHeight="1">
      <c r="A17" s="306"/>
      <c r="B17" s="540"/>
      <c r="C17" s="307"/>
      <c r="D17" s="307"/>
      <c r="E17" s="307"/>
      <c r="F17" s="541"/>
      <c r="G17" s="343" t="s">
        <v>504</v>
      </c>
      <c r="H17" s="542"/>
      <c r="I17" s="542"/>
      <c r="J17" s="542"/>
      <c r="K17" s="542"/>
      <c r="L17" s="542"/>
      <c r="M17" s="543"/>
      <c r="N17" s="346"/>
      <c r="O17" s="346"/>
      <c r="P17" s="346"/>
      <c r="Q17" s="347">
        <f>Q18</f>
        <v>1500000</v>
      </c>
    </row>
    <row r="18" spans="1:19" s="383" customFormat="1" ht="15" customHeight="1">
      <c r="A18" s="306"/>
      <c r="B18" s="540"/>
      <c r="C18" s="307"/>
      <c r="D18" s="307"/>
      <c r="E18" s="307"/>
      <c r="F18" s="541"/>
      <c r="G18" s="544" t="s">
        <v>505</v>
      </c>
      <c r="H18" s="542"/>
      <c r="I18" s="542"/>
      <c r="J18" s="542"/>
      <c r="K18" s="542"/>
      <c r="L18" s="542"/>
      <c r="M18" s="543"/>
      <c r="N18" s="307">
        <v>1</v>
      </c>
      <c r="O18" s="307" t="s">
        <v>506</v>
      </c>
      <c r="P18" s="545">
        <v>1500000</v>
      </c>
      <c r="Q18" s="347">
        <f>N18*P18</f>
        <v>1500000</v>
      </c>
    </row>
    <row r="19" spans="1:19" s="383" customFormat="1" ht="7.5" customHeight="1">
      <c r="A19" s="306"/>
      <c r="B19" s="540"/>
      <c r="C19" s="307"/>
      <c r="D19" s="307"/>
      <c r="E19" s="307"/>
      <c r="F19" s="541"/>
      <c r="G19" s="343"/>
      <c r="H19" s="542"/>
      <c r="I19" s="542"/>
      <c r="J19" s="542"/>
      <c r="K19" s="542"/>
      <c r="L19" s="542"/>
      <c r="M19" s="543"/>
      <c r="N19" s="346"/>
      <c r="O19" s="346"/>
      <c r="P19" s="346"/>
      <c r="Q19" s="347"/>
    </row>
    <row r="20" spans="1:19" s="383" customFormat="1" ht="15" customHeight="1">
      <c r="A20" s="306"/>
      <c r="B20" s="540"/>
      <c r="C20" s="307"/>
      <c r="D20" s="307"/>
      <c r="E20" s="307"/>
      <c r="F20" s="541"/>
      <c r="G20" s="343" t="s">
        <v>491</v>
      </c>
      <c r="H20" s="542"/>
      <c r="I20" s="542"/>
      <c r="J20" s="542"/>
      <c r="K20" s="542"/>
      <c r="L20" s="542"/>
      <c r="M20" s="543"/>
      <c r="N20" s="346"/>
      <c r="O20" s="346"/>
      <c r="P20" s="346"/>
      <c r="Q20" s="347">
        <f>Q21</f>
        <v>900000</v>
      </c>
    </row>
    <row r="21" spans="1:19" s="242" customFormat="1" ht="15" customHeight="1">
      <c r="A21" s="877"/>
      <c r="B21" s="878"/>
      <c r="C21" s="408"/>
      <c r="D21" s="408"/>
      <c r="E21" s="408"/>
      <c r="F21" s="493"/>
      <c r="G21" s="309" t="s">
        <v>488</v>
      </c>
      <c r="H21" s="309"/>
      <c r="I21" s="415"/>
      <c r="J21" s="415"/>
      <c r="K21" s="415"/>
      <c r="L21" s="415"/>
      <c r="M21" s="494"/>
      <c r="N21" s="408"/>
      <c r="O21" s="408"/>
      <c r="P21" s="417"/>
      <c r="Q21" s="417">
        <f>SUM(Q22:Q24)</f>
        <v>900000</v>
      </c>
      <c r="S21" s="311"/>
    </row>
    <row r="22" spans="1:19" s="242" customFormat="1" ht="15" customHeight="1">
      <c r="A22" s="877"/>
      <c r="B22" s="878"/>
      <c r="C22" s="408"/>
      <c r="D22" s="408"/>
      <c r="E22" s="408"/>
      <c r="F22" s="493"/>
      <c r="G22" s="309" t="s">
        <v>49</v>
      </c>
      <c r="H22" s="309"/>
      <c r="I22" s="415">
        <v>1</v>
      </c>
      <c r="J22" s="415" t="s">
        <v>17</v>
      </c>
      <c r="K22" s="415" t="s">
        <v>20</v>
      </c>
      <c r="L22" s="415">
        <v>1</v>
      </c>
      <c r="M22" s="494" t="s">
        <v>43</v>
      </c>
      <c r="N22" s="408">
        <f>I22*L22</f>
        <v>1</v>
      </c>
      <c r="O22" s="408" t="s">
        <v>43</v>
      </c>
      <c r="P22" s="417">
        <v>250000</v>
      </c>
      <c r="Q22" s="417">
        <f>N22*P22</f>
        <v>250000</v>
      </c>
      <c r="S22" s="311"/>
    </row>
    <row r="23" spans="1:19" s="242" customFormat="1" ht="15" customHeight="1">
      <c r="A23" s="493"/>
      <c r="B23" s="494"/>
      <c r="C23" s="408"/>
      <c r="D23" s="408"/>
      <c r="E23" s="408"/>
      <c r="F23" s="493"/>
      <c r="G23" s="309" t="s">
        <v>66</v>
      </c>
      <c r="H23" s="309"/>
      <c r="I23" s="415">
        <v>1</v>
      </c>
      <c r="J23" s="415" t="s">
        <v>17</v>
      </c>
      <c r="K23" s="415" t="s">
        <v>20</v>
      </c>
      <c r="L23" s="415">
        <v>1</v>
      </c>
      <c r="M23" s="494" t="s">
        <v>43</v>
      </c>
      <c r="N23" s="408">
        <f>I23*L23</f>
        <v>1</v>
      </c>
      <c r="O23" s="408" t="s">
        <v>43</v>
      </c>
      <c r="P23" s="417">
        <v>200000</v>
      </c>
      <c r="Q23" s="417">
        <f>N23*P23</f>
        <v>200000</v>
      </c>
      <c r="S23" s="311"/>
    </row>
    <row r="24" spans="1:19" s="242" customFormat="1" ht="15" customHeight="1">
      <c r="A24" s="877"/>
      <c r="B24" s="878"/>
      <c r="C24" s="408"/>
      <c r="D24" s="408"/>
      <c r="E24" s="408"/>
      <c r="F24" s="493"/>
      <c r="G24" s="309" t="s">
        <v>50</v>
      </c>
      <c r="H24" s="309"/>
      <c r="I24" s="415">
        <v>3</v>
      </c>
      <c r="J24" s="415" t="s">
        <v>17</v>
      </c>
      <c r="K24" s="415" t="s">
        <v>20</v>
      </c>
      <c r="L24" s="415">
        <v>1</v>
      </c>
      <c r="M24" s="494" t="s">
        <v>43</v>
      </c>
      <c r="N24" s="408">
        <f>I24*L24</f>
        <v>3</v>
      </c>
      <c r="O24" s="408" t="s">
        <v>43</v>
      </c>
      <c r="P24" s="417">
        <v>150000</v>
      </c>
      <c r="Q24" s="417">
        <f>N24*P24</f>
        <v>450000</v>
      </c>
    </row>
    <row r="25" spans="1:19" s="242" customFormat="1" ht="9" customHeight="1">
      <c r="A25" s="493"/>
      <c r="B25" s="494"/>
      <c r="C25" s="408"/>
      <c r="D25" s="408"/>
      <c r="E25" s="408"/>
      <c r="F25" s="493"/>
      <c r="G25" s="309"/>
      <c r="H25" s="309"/>
      <c r="I25" s="415"/>
      <c r="J25" s="415"/>
      <c r="K25" s="415"/>
      <c r="L25" s="415"/>
      <c r="M25" s="494"/>
      <c r="N25" s="408"/>
      <c r="O25" s="408"/>
      <c r="P25" s="417"/>
      <c r="Q25" s="417"/>
    </row>
    <row r="26" spans="1:19" s="242" customFormat="1" ht="15" customHeight="1">
      <c r="A26" s="493"/>
      <c r="B26" s="494"/>
      <c r="C26" s="408"/>
      <c r="D26" s="408"/>
      <c r="E26" s="408"/>
      <c r="F26" s="458" t="s">
        <v>14</v>
      </c>
      <c r="G26" s="318" t="s">
        <v>489</v>
      </c>
      <c r="H26" s="309"/>
      <c r="I26" s="415"/>
      <c r="J26" s="415"/>
      <c r="K26" s="415"/>
      <c r="L26" s="415"/>
      <c r="M26" s="494"/>
      <c r="N26" s="408"/>
      <c r="O26" s="408"/>
      <c r="P26" s="417"/>
      <c r="Q26" s="434">
        <f>Q27</f>
        <v>1050000</v>
      </c>
    </row>
    <row r="27" spans="1:19" s="242" customFormat="1" ht="15" customHeight="1">
      <c r="A27" s="877"/>
      <c r="B27" s="878"/>
      <c r="C27" s="408"/>
      <c r="D27" s="408"/>
      <c r="E27" s="408"/>
      <c r="F27" s="435"/>
      <c r="G27" s="896" t="s">
        <v>490</v>
      </c>
      <c r="H27" s="896"/>
      <c r="I27" s="896"/>
      <c r="J27" s="896"/>
      <c r="K27" s="896"/>
      <c r="L27" s="896"/>
      <c r="M27" s="897"/>
      <c r="N27" s="408"/>
      <c r="O27" s="408"/>
      <c r="P27" s="417"/>
      <c r="Q27" s="417">
        <f>SUM(Q28:Q29)</f>
        <v>1050000</v>
      </c>
    </row>
    <row r="28" spans="1:19" s="242" customFormat="1" ht="15" customHeight="1">
      <c r="A28" s="877"/>
      <c r="B28" s="878"/>
      <c r="C28" s="408"/>
      <c r="D28" s="408"/>
      <c r="E28" s="408"/>
      <c r="F28" s="493"/>
      <c r="G28" s="309" t="s">
        <v>52</v>
      </c>
      <c r="H28" s="309"/>
      <c r="I28" s="309">
        <v>30</v>
      </c>
      <c r="J28" s="309" t="s">
        <v>53</v>
      </c>
      <c r="K28" s="415" t="s">
        <v>20</v>
      </c>
      <c r="L28" s="415">
        <v>1</v>
      </c>
      <c r="M28" s="494" t="s">
        <v>212</v>
      </c>
      <c r="N28" s="408">
        <f>I28*L28</f>
        <v>30</v>
      </c>
      <c r="O28" s="408" t="s">
        <v>53</v>
      </c>
      <c r="P28" s="417">
        <v>25000</v>
      </c>
      <c r="Q28" s="417">
        <f>N28*P28</f>
        <v>750000</v>
      </c>
    </row>
    <row r="29" spans="1:19" s="242" customFormat="1" ht="15" customHeight="1">
      <c r="A29" s="877"/>
      <c r="B29" s="878"/>
      <c r="C29" s="408"/>
      <c r="D29" s="408"/>
      <c r="E29" s="408"/>
      <c r="F29" s="493"/>
      <c r="G29" s="309" t="s">
        <v>54</v>
      </c>
      <c r="H29" s="309"/>
      <c r="I29" s="309">
        <v>30</v>
      </c>
      <c r="J29" s="309" t="s">
        <v>53</v>
      </c>
      <c r="K29" s="415" t="s">
        <v>20</v>
      </c>
      <c r="L29" s="415">
        <v>1</v>
      </c>
      <c r="M29" s="494" t="s">
        <v>212</v>
      </c>
      <c r="N29" s="408">
        <f>I29*L29</f>
        <v>30</v>
      </c>
      <c r="O29" s="408" t="s">
        <v>53</v>
      </c>
      <c r="P29" s="417">
        <v>10000</v>
      </c>
      <c r="Q29" s="417">
        <f>N29*P29</f>
        <v>300000</v>
      </c>
    </row>
    <row r="30" spans="1:19" s="242" customFormat="1" ht="15" customHeight="1">
      <c r="A30" s="493"/>
      <c r="B30" s="494"/>
      <c r="C30" s="408"/>
      <c r="D30" s="408"/>
      <c r="E30" s="408"/>
      <c r="F30" s="493"/>
      <c r="G30" s="309"/>
      <c r="H30" s="309"/>
      <c r="I30" s="309"/>
      <c r="J30" s="309"/>
      <c r="K30" s="415"/>
      <c r="L30" s="415"/>
      <c r="M30" s="494"/>
      <c r="N30" s="408"/>
      <c r="O30" s="408"/>
      <c r="P30" s="417"/>
      <c r="Q30" s="417"/>
    </row>
    <row r="31" spans="1:19" s="242" customFormat="1" ht="15" customHeight="1">
      <c r="A31" s="493"/>
      <c r="B31" s="494"/>
      <c r="C31" s="408"/>
      <c r="D31" s="408"/>
      <c r="E31" s="408"/>
      <c r="F31" s="435" t="s">
        <v>14</v>
      </c>
      <c r="G31" s="894" t="s">
        <v>509</v>
      </c>
      <c r="H31" s="894"/>
      <c r="I31" s="894"/>
      <c r="J31" s="894"/>
      <c r="K31" s="894"/>
      <c r="L31" s="894"/>
      <c r="M31" s="895"/>
      <c r="N31" s="408"/>
      <c r="O31" s="408"/>
      <c r="P31" s="417"/>
      <c r="Q31" s="434">
        <f>SUM(Q32:Q34)</f>
        <v>86500</v>
      </c>
    </row>
    <row r="32" spans="1:19" s="242" customFormat="1" ht="15" customHeight="1">
      <c r="A32" s="493"/>
      <c r="B32" s="494"/>
      <c r="C32" s="408"/>
      <c r="D32" s="408"/>
      <c r="E32" s="408"/>
      <c r="F32" s="493"/>
      <c r="G32" s="309" t="s">
        <v>424</v>
      </c>
      <c r="H32" s="309"/>
      <c r="I32" s="309"/>
      <c r="J32" s="309"/>
      <c r="K32" s="415"/>
      <c r="L32" s="415"/>
      <c r="M32" s="494"/>
      <c r="N32" s="408">
        <v>1</v>
      </c>
      <c r="O32" s="408" t="s">
        <v>191</v>
      </c>
      <c r="P32" s="417">
        <v>49000</v>
      </c>
      <c r="Q32" s="417">
        <f>N32*P32</f>
        <v>49000</v>
      </c>
    </row>
    <row r="33" spans="1:20" s="242" customFormat="1" ht="15" customHeight="1">
      <c r="A33" s="493"/>
      <c r="B33" s="494"/>
      <c r="C33" s="408"/>
      <c r="D33" s="408"/>
      <c r="E33" s="408"/>
      <c r="F33" s="493"/>
      <c r="G33" s="309" t="s">
        <v>476</v>
      </c>
      <c r="H33" s="309"/>
      <c r="I33" s="309"/>
      <c r="J33" s="309"/>
      <c r="K33" s="415"/>
      <c r="L33" s="415"/>
      <c r="M33" s="494"/>
      <c r="N33" s="408">
        <v>1</v>
      </c>
      <c r="O33" s="408" t="s">
        <v>53</v>
      </c>
      <c r="P33" s="417">
        <v>22500</v>
      </c>
      <c r="Q33" s="417">
        <f>N33*P33</f>
        <v>22500</v>
      </c>
    </row>
    <row r="34" spans="1:20" s="242" customFormat="1" ht="15" customHeight="1">
      <c r="A34" s="493"/>
      <c r="B34" s="494"/>
      <c r="C34" s="408"/>
      <c r="D34" s="408"/>
      <c r="E34" s="408"/>
      <c r="F34" s="493"/>
      <c r="G34" s="309" t="s">
        <v>32</v>
      </c>
      <c r="H34" s="309"/>
      <c r="I34" s="309"/>
      <c r="J34" s="309"/>
      <c r="K34" s="415"/>
      <c r="L34" s="415"/>
      <c r="M34" s="494"/>
      <c r="N34" s="408">
        <v>1</v>
      </c>
      <c r="O34" s="408" t="s">
        <v>53</v>
      </c>
      <c r="P34" s="417">
        <v>15000</v>
      </c>
      <c r="Q34" s="417">
        <f>N34*P34</f>
        <v>15000</v>
      </c>
    </row>
    <row r="35" spans="1:20" s="242" customFormat="1" ht="15" customHeight="1">
      <c r="A35" s="493"/>
      <c r="B35" s="494"/>
      <c r="C35" s="408"/>
      <c r="D35" s="408"/>
      <c r="E35" s="408"/>
      <c r="F35" s="493"/>
      <c r="G35" s="309"/>
      <c r="H35" s="309"/>
      <c r="I35" s="309"/>
      <c r="J35" s="309"/>
      <c r="K35" s="415"/>
      <c r="L35" s="415"/>
      <c r="M35" s="494"/>
      <c r="N35" s="408"/>
      <c r="O35" s="408"/>
      <c r="P35" s="417"/>
      <c r="Q35" s="417"/>
      <c r="T35" s="311">
        <f>P34+360</f>
        <v>15360</v>
      </c>
    </row>
    <row r="36" spans="1:20" s="242" customFormat="1" ht="15" customHeight="1">
      <c r="A36" s="877"/>
      <c r="B36" s="878"/>
      <c r="C36" s="408"/>
      <c r="D36" s="408"/>
      <c r="E36" s="408"/>
      <c r="F36" s="458" t="s">
        <v>14</v>
      </c>
      <c r="G36" s="318" t="s">
        <v>68</v>
      </c>
      <c r="H36" s="309"/>
      <c r="I36" s="309"/>
      <c r="J36" s="309"/>
      <c r="K36" s="415"/>
      <c r="L36" s="415"/>
      <c r="M36" s="494"/>
      <c r="N36" s="408"/>
      <c r="O36" s="408"/>
      <c r="P36" s="459"/>
      <c r="Q36" s="434">
        <f>SUM(Q37:Q38)</f>
        <v>100000</v>
      </c>
    </row>
    <row r="37" spans="1:20" s="242" customFormat="1" ht="15" customHeight="1">
      <c r="A37" s="877"/>
      <c r="B37" s="878"/>
      <c r="C37" s="408"/>
      <c r="D37" s="408"/>
      <c r="E37" s="408"/>
      <c r="F37" s="493"/>
      <c r="G37" s="309" t="s">
        <v>69</v>
      </c>
      <c r="H37" s="309"/>
      <c r="I37" s="309"/>
      <c r="J37" s="309"/>
      <c r="K37" s="309"/>
      <c r="L37" s="309"/>
      <c r="M37" s="460"/>
      <c r="N37" s="408">
        <v>250</v>
      </c>
      <c r="O37" s="408" t="s">
        <v>38</v>
      </c>
      <c r="P37" s="546">
        <v>300</v>
      </c>
      <c r="Q37" s="417">
        <f>SUM(N37*P37)</f>
        <v>75000</v>
      </c>
    </row>
    <row r="38" spans="1:20" s="242" customFormat="1" ht="15" customHeight="1">
      <c r="A38" s="493"/>
      <c r="B38" s="494"/>
      <c r="C38" s="408"/>
      <c r="D38" s="408"/>
      <c r="E38" s="408"/>
      <c r="F38" s="499"/>
      <c r="G38" s="325" t="s">
        <v>196</v>
      </c>
      <c r="H38" s="325"/>
      <c r="I38" s="325"/>
      <c r="J38" s="325"/>
      <c r="K38" s="325"/>
      <c r="L38" s="325"/>
      <c r="M38" s="463"/>
      <c r="N38" s="420">
        <v>5</v>
      </c>
      <c r="O38" s="420" t="s">
        <v>296</v>
      </c>
      <c r="P38" s="547">
        <v>5000</v>
      </c>
      <c r="Q38" s="417">
        <f>SUM(N38*P38)</f>
        <v>25000</v>
      </c>
      <c r="T38" s="282">
        <f>'APBDESA 16..'!Q463</f>
        <v>360872</v>
      </c>
    </row>
    <row r="39" spans="1:20" s="242" customFormat="1" ht="15" customHeight="1">
      <c r="A39" s="499"/>
      <c r="B39" s="500"/>
      <c r="C39" s="420"/>
      <c r="D39" s="420"/>
      <c r="E39" s="420"/>
      <c r="F39" s="499"/>
      <c r="G39" s="325"/>
      <c r="H39" s="325"/>
      <c r="I39" s="325"/>
      <c r="J39" s="325"/>
      <c r="K39" s="325"/>
      <c r="L39" s="325"/>
      <c r="M39" s="463"/>
      <c r="N39" s="420"/>
      <c r="O39" s="420"/>
      <c r="P39" s="547"/>
      <c r="Q39" s="423"/>
    </row>
    <row r="40" spans="1:20" s="242" customFormat="1" ht="15" customHeight="1">
      <c r="A40" s="873">
        <v>2</v>
      </c>
      <c r="B40" s="874"/>
      <c r="C40" s="491">
        <v>7</v>
      </c>
      <c r="D40" s="491">
        <v>2</v>
      </c>
      <c r="E40" s="491">
        <v>3</v>
      </c>
      <c r="F40" s="548" t="s">
        <v>14</v>
      </c>
      <c r="G40" s="325" t="s">
        <v>60</v>
      </c>
      <c r="H40" s="325"/>
      <c r="I40" s="325"/>
      <c r="J40" s="325"/>
      <c r="K40" s="325"/>
      <c r="L40" s="325"/>
      <c r="M40" s="463"/>
      <c r="N40" s="420"/>
      <c r="O40" s="420"/>
      <c r="P40" s="547"/>
      <c r="Q40" s="549">
        <f>Q41</f>
        <v>15000000</v>
      </c>
    </row>
    <row r="41" spans="1:20" s="242" customFormat="1" ht="15" customHeight="1">
      <c r="A41" s="493"/>
      <c r="B41" s="494"/>
      <c r="C41" s="408"/>
      <c r="D41" s="408"/>
      <c r="E41" s="408"/>
      <c r="F41" s="499"/>
      <c r="G41" s="550" t="s">
        <v>526</v>
      </c>
      <c r="H41" s="325"/>
      <c r="I41" s="325"/>
      <c r="J41" s="325"/>
      <c r="K41" s="325"/>
      <c r="L41" s="325"/>
      <c r="M41" s="463"/>
      <c r="N41" s="420">
        <v>1</v>
      </c>
      <c r="O41" s="420" t="s">
        <v>435</v>
      </c>
      <c r="P41" s="547">
        <v>15000000</v>
      </c>
      <c r="Q41" s="423">
        <f>N41*P41</f>
        <v>15000000</v>
      </c>
      <c r="T41" s="282">
        <f>Sheet1!H33</f>
        <v>-20316868</v>
      </c>
    </row>
    <row r="42" spans="1:20" s="242" customFormat="1" ht="15" customHeight="1">
      <c r="A42" s="493"/>
      <c r="B42" s="494"/>
      <c r="C42" s="408"/>
      <c r="D42" s="408"/>
      <c r="E42" s="408"/>
      <c r="F42" s="499"/>
      <c r="G42" s="325"/>
      <c r="H42" s="325"/>
      <c r="I42" s="325"/>
      <c r="J42" s="325"/>
      <c r="K42" s="325"/>
      <c r="L42" s="325"/>
      <c r="M42" s="463"/>
      <c r="N42" s="420"/>
      <c r="O42" s="420"/>
      <c r="P42" s="551"/>
      <c r="Q42" s="423"/>
    </row>
    <row r="43" spans="1:20" s="242" customFormat="1" ht="15" customHeight="1">
      <c r="A43" s="768"/>
      <c r="B43" s="883"/>
      <c r="C43" s="426"/>
      <c r="D43" s="426"/>
      <c r="E43" s="426"/>
      <c r="F43" s="760" t="s">
        <v>163</v>
      </c>
      <c r="G43" s="761"/>
      <c r="H43" s="761"/>
      <c r="I43" s="761"/>
      <c r="J43" s="761"/>
      <c r="K43" s="761"/>
      <c r="L43" s="761"/>
      <c r="M43" s="764"/>
      <c r="N43" s="442"/>
      <c r="O43" s="442"/>
      <c r="P43" s="442"/>
      <c r="Q43" s="429">
        <f>Q16+Q40</f>
        <v>18636500</v>
      </c>
      <c r="T43" s="282">
        <f>14000000-T41</f>
        <v>34316868</v>
      </c>
    </row>
    <row r="44" spans="1:20" s="242" customFormat="1" ht="16.5">
      <c r="A44" s="367"/>
      <c r="B44" s="354"/>
      <c r="C44" s="354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87"/>
    </row>
    <row r="45" spans="1:20" s="242" customFormat="1" ht="16.5">
      <c r="A45" s="283"/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5"/>
      <c r="T45" s="282">
        <f>P41-T38</f>
        <v>14639128</v>
      </c>
    </row>
    <row r="46" spans="1:20" s="242" customFormat="1" ht="16.5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 t="s">
        <v>552</v>
      </c>
      <c r="Q46" s="285"/>
      <c r="S46" s="515">
        <f>P41+119000</f>
        <v>15119000</v>
      </c>
    </row>
    <row r="47" spans="1:20" s="242" customFormat="1" ht="16.5">
      <c r="A47" s="283"/>
      <c r="B47" s="284"/>
      <c r="C47" s="284"/>
      <c r="D47" s="284"/>
      <c r="E47" s="284"/>
      <c r="F47" s="284"/>
      <c r="G47" s="286" t="s">
        <v>168</v>
      </c>
      <c r="H47" s="284"/>
      <c r="I47" s="284"/>
      <c r="J47" s="284"/>
      <c r="K47" s="284"/>
      <c r="L47" s="284"/>
      <c r="M47" s="284"/>
      <c r="N47" s="284"/>
      <c r="O47" s="284"/>
      <c r="P47" s="469" t="s">
        <v>193</v>
      </c>
      <c r="Q47" s="285"/>
    </row>
    <row r="48" spans="1:20" s="242" customFormat="1" ht="16.5">
      <c r="A48" s="283"/>
      <c r="B48" s="284"/>
      <c r="C48" s="284"/>
      <c r="D48" s="284"/>
      <c r="E48" s="284"/>
      <c r="F48" s="284"/>
      <c r="G48" s="286" t="s">
        <v>314</v>
      </c>
      <c r="H48" s="284"/>
      <c r="I48" s="284"/>
      <c r="J48" s="284"/>
      <c r="K48" s="284"/>
      <c r="L48" s="284"/>
      <c r="M48" s="284"/>
      <c r="N48" s="284"/>
      <c r="O48" s="284"/>
      <c r="P48" s="284"/>
      <c r="Q48" s="285"/>
    </row>
    <row r="49" spans="1:17" s="242" customFormat="1" ht="16.5">
      <c r="A49" s="283"/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5"/>
    </row>
    <row r="50" spans="1:17" s="242" customFormat="1" ht="16.5">
      <c r="A50" s="283"/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5"/>
    </row>
    <row r="51" spans="1:17" s="242" customFormat="1" ht="16.5">
      <c r="A51" s="283"/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5"/>
    </row>
    <row r="52" spans="1:17" s="242" customFormat="1" ht="16.5">
      <c r="A52" s="283"/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5"/>
    </row>
    <row r="53" spans="1:17" s="242" customFormat="1" ht="16.5">
      <c r="A53" s="283"/>
      <c r="B53" s="284"/>
      <c r="C53" s="284"/>
      <c r="D53" s="284"/>
      <c r="E53" s="284"/>
      <c r="F53" s="284"/>
      <c r="G53" s="303" t="s">
        <v>304</v>
      </c>
      <c r="H53" s="284"/>
      <c r="I53" s="284"/>
      <c r="J53" s="284"/>
      <c r="K53" s="284"/>
      <c r="L53" s="284"/>
      <c r="M53" s="284"/>
      <c r="N53" s="284"/>
      <c r="O53" s="284"/>
      <c r="P53" s="381" t="s">
        <v>305</v>
      </c>
      <c r="Q53" s="285"/>
    </row>
    <row r="54" spans="1:17" s="242" customFormat="1" ht="16.5">
      <c r="A54" s="287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9"/>
    </row>
    <row r="55" spans="1:17" s="242" customFormat="1" ht="16.5"/>
    <row r="56" spans="1:17" s="242" customFormat="1" ht="16.5"/>
    <row r="57" spans="1:17" s="242" customFormat="1" ht="16.5"/>
    <row r="58" spans="1:17" s="242" customFormat="1" ht="16.5"/>
    <row r="59" spans="1:17" s="242" customFormat="1" ht="16.5"/>
    <row r="60" spans="1:17" s="242" customFormat="1" ht="16.5"/>
    <row r="61" spans="1:17" s="242" customFormat="1" ht="16.5"/>
    <row r="62" spans="1:17" s="242" customFormat="1" ht="16.5"/>
    <row r="63" spans="1:17" s="242" customFormat="1" ht="16.5"/>
    <row r="64" spans="1:17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  <row r="193" s="242" customFormat="1" ht="16.5"/>
    <row r="194" s="242" customFormat="1" ht="16.5"/>
    <row r="195" s="242" customFormat="1" ht="16.5"/>
    <row r="196" s="242" customFormat="1" ht="16.5"/>
    <row r="197" s="242" customFormat="1" ht="16.5"/>
    <row r="198" s="242" customFormat="1" ht="16.5"/>
    <row r="199" s="242" customFormat="1" ht="16.5"/>
    <row r="200" s="242" customFormat="1" ht="16.5"/>
    <row r="201" s="242" customFormat="1" ht="16.5"/>
  </sheetData>
  <mergeCells count="25">
    <mergeCell ref="A43:B43"/>
    <mergeCell ref="J8:Q8"/>
    <mergeCell ref="F13:M14"/>
    <mergeCell ref="N13:N14"/>
    <mergeCell ref="O13:O14"/>
    <mergeCell ref="Q13:Q14"/>
    <mergeCell ref="F43:M43"/>
    <mergeCell ref="A36:B36"/>
    <mergeCell ref="A37:B37"/>
    <mergeCell ref="A27:B27"/>
    <mergeCell ref="A28:B28"/>
    <mergeCell ref="A29:B29"/>
    <mergeCell ref="A13:E14"/>
    <mergeCell ref="A40:B40"/>
    <mergeCell ref="G31:M31"/>
    <mergeCell ref="G27:M27"/>
    <mergeCell ref="A16:B16"/>
    <mergeCell ref="A21:B21"/>
    <mergeCell ref="A22:B22"/>
    <mergeCell ref="A24:B24"/>
    <mergeCell ref="A1:Q1"/>
    <mergeCell ref="A2:Q2"/>
    <mergeCell ref="A3:Q3"/>
    <mergeCell ref="J6:Q6"/>
    <mergeCell ref="A15:E15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W357"/>
  <sheetViews>
    <sheetView topLeftCell="C49" zoomScaleSheetLayoutView="100" workbookViewId="0">
      <selection activeCell="R68" sqref="R68"/>
    </sheetView>
  </sheetViews>
  <sheetFormatPr defaultRowHeight="15"/>
  <cols>
    <col min="1" max="2" width="0" hidden="1" customWidth="1"/>
    <col min="3" max="3" width="2" customWidth="1"/>
    <col min="4" max="4" width="0.7109375" customWidth="1"/>
    <col min="5" max="5" width="2.42578125" customWidth="1"/>
    <col min="6" max="6" width="2.7109375" customWidth="1"/>
    <col min="7" max="7" width="2.42578125" customWidth="1"/>
    <col min="8" max="8" width="2" customWidth="1"/>
    <col min="9" max="9" width="18.85546875" customWidth="1"/>
    <col min="10" max="10" width="1.5703125" hidden="1" customWidth="1"/>
    <col min="11" max="11" width="2.42578125" customWidth="1"/>
    <col min="12" max="15" width="5" customWidth="1"/>
    <col min="16" max="16" width="7.42578125" customWidth="1"/>
    <col min="17" max="17" width="7" customWidth="1"/>
    <col min="18" max="18" width="13.42578125" customWidth="1"/>
    <col min="19" max="19" width="16.28515625" customWidth="1"/>
    <col min="21" max="21" width="12.28515625" bestFit="1" customWidth="1"/>
    <col min="22" max="22" width="11.28515625" bestFit="1" customWidth="1"/>
  </cols>
  <sheetData>
    <row r="1" spans="3:19" s="247" customFormat="1" ht="18">
      <c r="C1" s="853" t="s">
        <v>6</v>
      </c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5"/>
    </row>
    <row r="2" spans="3:19" s="247" customFormat="1" ht="18">
      <c r="C2" s="869" t="s">
        <v>292</v>
      </c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0"/>
      <c r="R2" s="870"/>
      <c r="S2" s="871"/>
    </row>
    <row r="3" spans="3:19" s="249" customFormat="1" ht="15.75">
      <c r="C3" s="859" t="s">
        <v>211</v>
      </c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1"/>
    </row>
    <row r="4" spans="3:19" s="243" customFormat="1" ht="22.5" customHeight="1">
      <c r="C4" s="370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8"/>
    </row>
    <row r="5" spans="3:19" s="242" customFormat="1" ht="16.5">
      <c r="C5" s="283" t="s">
        <v>7</v>
      </c>
      <c r="D5" s="295" t="s">
        <v>10</v>
      </c>
      <c r="E5" s="295"/>
      <c r="F5" s="295"/>
      <c r="G5" s="295"/>
      <c r="H5" s="295"/>
      <c r="I5" s="286"/>
      <c r="J5" s="286" t="s">
        <v>12</v>
      </c>
      <c r="K5" s="286" t="s">
        <v>12</v>
      </c>
      <c r="L5" s="851" t="s">
        <v>56</v>
      </c>
      <c r="M5" s="851"/>
      <c r="N5" s="851"/>
      <c r="O5" s="851"/>
      <c r="P5" s="851"/>
      <c r="Q5" s="851"/>
      <c r="R5" s="851"/>
      <c r="S5" s="852"/>
    </row>
    <row r="6" spans="3:19" s="242" customFormat="1" ht="16.5">
      <c r="C6" s="283" t="s">
        <v>8</v>
      </c>
      <c r="D6" s="295" t="s">
        <v>11</v>
      </c>
      <c r="E6" s="295"/>
      <c r="F6" s="295"/>
      <c r="G6" s="295"/>
      <c r="H6" s="295"/>
      <c r="I6" s="286"/>
      <c r="J6" s="286" t="s">
        <v>12</v>
      </c>
      <c r="K6" s="286" t="s">
        <v>12</v>
      </c>
      <c r="L6" s="295" t="s">
        <v>323</v>
      </c>
      <c r="M6" s="295"/>
      <c r="N6" s="295"/>
      <c r="O6" s="295"/>
      <c r="P6" s="295"/>
      <c r="Q6" s="295"/>
      <c r="R6" s="295"/>
      <c r="S6" s="296"/>
    </row>
    <row r="7" spans="3:19" s="242" customFormat="1" ht="16.5">
      <c r="C7" s="283" t="s">
        <v>9</v>
      </c>
      <c r="D7" s="295" t="s">
        <v>22</v>
      </c>
      <c r="E7" s="295"/>
      <c r="F7" s="295"/>
      <c r="G7" s="295"/>
      <c r="H7" s="295"/>
      <c r="I7" s="286"/>
      <c r="J7" s="286" t="s">
        <v>12</v>
      </c>
      <c r="K7" s="286" t="s">
        <v>12</v>
      </c>
      <c r="L7" s="851" t="s">
        <v>76</v>
      </c>
      <c r="M7" s="851"/>
      <c r="N7" s="851"/>
      <c r="O7" s="851"/>
      <c r="P7" s="851"/>
      <c r="Q7" s="851"/>
      <c r="R7" s="851"/>
      <c r="S7" s="852"/>
    </row>
    <row r="8" spans="3:19" s="242" customFormat="1" ht="16.5">
      <c r="C8" s="297" t="s">
        <v>219</v>
      </c>
      <c r="D8" s="295" t="s">
        <v>216</v>
      </c>
      <c r="E8" s="295"/>
      <c r="F8" s="295"/>
      <c r="G8" s="295"/>
      <c r="H8" s="295"/>
      <c r="I8" s="286"/>
      <c r="J8" s="286"/>
      <c r="K8" s="286" t="s">
        <v>12</v>
      </c>
      <c r="L8" s="469" t="s">
        <v>139</v>
      </c>
      <c r="M8" s="469"/>
      <c r="N8" s="469"/>
      <c r="O8" s="469"/>
      <c r="P8" s="469"/>
      <c r="Q8" s="469"/>
      <c r="R8" s="469"/>
      <c r="S8" s="470"/>
    </row>
    <row r="9" spans="3:19" s="242" customFormat="1" ht="16.5">
      <c r="C9" s="297" t="s">
        <v>228</v>
      </c>
      <c r="D9" s="295" t="s">
        <v>229</v>
      </c>
      <c r="E9" s="295"/>
      <c r="F9" s="295"/>
      <c r="G9" s="295"/>
      <c r="H9" s="295"/>
      <c r="I9" s="286"/>
      <c r="J9" s="286"/>
      <c r="K9" s="286" t="s">
        <v>12</v>
      </c>
      <c r="L9" s="469" t="s">
        <v>320</v>
      </c>
      <c r="M9" s="469"/>
      <c r="N9" s="469"/>
      <c r="O9" s="469"/>
      <c r="P9" s="469"/>
      <c r="Q9" s="469"/>
      <c r="R9" s="469"/>
      <c r="S9" s="470"/>
    </row>
    <row r="10" spans="3:19" s="242" customFormat="1" ht="16.5">
      <c r="C10" s="297" t="s">
        <v>230</v>
      </c>
      <c r="D10" s="295" t="s">
        <v>210</v>
      </c>
      <c r="E10" s="295"/>
      <c r="F10" s="295"/>
      <c r="G10" s="295"/>
      <c r="H10" s="295"/>
      <c r="I10" s="286"/>
      <c r="J10" s="286"/>
      <c r="K10" s="286" t="s">
        <v>12</v>
      </c>
      <c r="L10" s="469" t="s">
        <v>440</v>
      </c>
      <c r="M10" s="469"/>
      <c r="N10" s="469"/>
      <c r="O10" s="469"/>
      <c r="P10" s="469"/>
      <c r="Q10" s="469"/>
      <c r="R10" s="469"/>
      <c r="S10" s="470"/>
    </row>
    <row r="11" spans="3:19" s="242" customFormat="1" ht="7.5" customHeight="1">
      <c r="C11" s="297"/>
      <c r="D11" s="295"/>
      <c r="E11" s="295"/>
      <c r="F11" s="295"/>
      <c r="G11" s="295"/>
      <c r="H11" s="295"/>
      <c r="I11" s="286"/>
      <c r="J11" s="286"/>
      <c r="K11" s="286"/>
      <c r="L11" s="469"/>
      <c r="M11" s="469"/>
      <c r="N11" s="469"/>
      <c r="O11" s="469"/>
      <c r="P11" s="469"/>
      <c r="Q11" s="469"/>
      <c r="R11" s="469"/>
      <c r="S11" s="470"/>
    </row>
    <row r="12" spans="3:19" s="243" customFormat="1" ht="12.75">
      <c r="C12" s="394" t="s">
        <v>221</v>
      </c>
      <c r="D12" s="430"/>
      <c r="E12" s="430"/>
      <c r="F12" s="430"/>
      <c r="G12" s="430"/>
      <c r="H12" s="430"/>
      <c r="I12" s="382"/>
      <c r="J12" s="382"/>
      <c r="K12" s="382"/>
      <c r="L12" s="397"/>
      <c r="M12" s="397"/>
      <c r="N12" s="397"/>
      <c r="O12" s="397"/>
      <c r="P12" s="397"/>
      <c r="Q12" s="397"/>
      <c r="R12" s="397"/>
      <c r="S12" s="398"/>
    </row>
    <row r="13" spans="3:19" s="242" customFormat="1" ht="4.5" customHeight="1">
      <c r="C13" s="283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5"/>
    </row>
    <row r="14" spans="3:19" s="243" customFormat="1" ht="12.75">
      <c r="C14" s="775" t="s">
        <v>0</v>
      </c>
      <c r="D14" s="776"/>
      <c r="E14" s="776"/>
      <c r="F14" s="776"/>
      <c r="G14" s="777"/>
      <c r="H14" s="775" t="s">
        <v>1</v>
      </c>
      <c r="I14" s="776"/>
      <c r="J14" s="776"/>
      <c r="K14" s="776"/>
      <c r="L14" s="776"/>
      <c r="M14" s="776"/>
      <c r="N14" s="776"/>
      <c r="O14" s="777"/>
      <c r="P14" s="780" t="s">
        <v>2</v>
      </c>
      <c r="Q14" s="780" t="s">
        <v>47</v>
      </c>
      <c r="R14" s="479" t="s">
        <v>4</v>
      </c>
      <c r="S14" s="780" t="s">
        <v>3</v>
      </c>
    </row>
    <row r="15" spans="3:19" s="243" customFormat="1" ht="12.75">
      <c r="C15" s="863"/>
      <c r="D15" s="778"/>
      <c r="E15" s="778"/>
      <c r="F15" s="778"/>
      <c r="G15" s="779"/>
      <c r="H15" s="863"/>
      <c r="I15" s="778"/>
      <c r="J15" s="778"/>
      <c r="K15" s="778"/>
      <c r="L15" s="778"/>
      <c r="M15" s="778"/>
      <c r="N15" s="778"/>
      <c r="O15" s="779"/>
      <c r="P15" s="781"/>
      <c r="Q15" s="781"/>
      <c r="R15" s="480" t="s">
        <v>5</v>
      </c>
      <c r="S15" s="781"/>
    </row>
    <row r="16" spans="3:19" s="237" customFormat="1" ht="13.5">
      <c r="C16" s="864">
        <v>1</v>
      </c>
      <c r="D16" s="865"/>
      <c r="E16" s="865"/>
      <c r="F16" s="865"/>
      <c r="G16" s="866"/>
      <c r="H16" s="476"/>
      <c r="I16" s="477">
        <v>2</v>
      </c>
      <c r="J16" s="477"/>
      <c r="K16" s="477"/>
      <c r="L16" s="477"/>
      <c r="M16" s="477"/>
      <c r="N16" s="477"/>
      <c r="O16" s="478"/>
      <c r="P16" s="239">
        <v>3</v>
      </c>
      <c r="Q16" s="239"/>
      <c r="R16" s="239">
        <v>4</v>
      </c>
      <c r="S16" s="239">
        <v>5</v>
      </c>
    </row>
    <row r="17" spans="1:21" s="242" customFormat="1" ht="18" customHeight="1">
      <c r="A17" s="383"/>
      <c r="B17" s="383"/>
      <c r="C17" s="876">
        <v>2</v>
      </c>
      <c r="D17" s="876"/>
      <c r="E17" s="492">
        <v>2</v>
      </c>
      <c r="F17" s="492">
        <v>15</v>
      </c>
      <c r="G17" s="492">
        <v>2</v>
      </c>
      <c r="H17" s="432" t="s">
        <v>14</v>
      </c>
      <c r="I17" s="862" t="s">
        <v>48</v>
      </c>
      <c r="J17" s="862"/>
      <c r="K17" s="862"/>
      <c r="L17" s="379"/>
      <c r="M17" s="379"/>
      <c r="N17" s="379"/>
      <c r="O17" s="433"/>
      <c r="P17" s="256"/>
      <c r="Q17" s="256"/>
      <c r="R17" s="256"/>
      <c r="S17" s="308">
        <f>SUM(S18)</f>
        <v>41795000</v>
      </c>
    </row>
    <row r="18" spans="1:21" s="242" customFormat="1" ht="12.75" customHeight="1">
      <c r="C18" s="875"/>
      <c r="D18" s="875"/>
      <c r="E18" s="491"/>
      <c r="F18" s="491"/>
      <c r="G18" s="491"/>
      <c r="H18" s="489"/>
      <c r="I18" s="260" t="s">
        <v>57</v>
      </c>
      <c r="J18" s="260"/>
      <c r="K18" s="265"/>
      <c r="L18" s="265"/>
      <c r="M18" s="265"/>
      <c r="N18" s="265"/>
      <c r="O18" s="490"/>
      <c r="P18" s="491"/>
      <c r="Q18" s="491"/>
      <c r="R18" s="267"/>
      <c r="S18" s="320">
        <f>SUM(S19:S21)</f>
        <v>41795000</v>
      </c>
      <c r="U18" s="311"/>
    </row>
    <row r="19" spans="1:21" s="242" customFormat="1" ht="12.75" customHeight="1">
      <c r="C19" s="875"/>
      <c r="D19" s="875"/>
      <c r="E19" s="491"/>
      <c r="F19" s="491"/>
      <c r="G19" s="491"/>
      <c r="H19" s="489"/>
      <c r="I19" s="321" t="s">
        <v>280</v>
      </c>
      <c r="J19" s="260"/>
      <c r="K19" s="265"/>
      <c r="L19" s="265"/>
      <c r="M19" s="265"/>
      <c r="N19" s="265"/>
      <c r="O19" s="490"/>
      <c r="P19" s="491">
        <v>454</v>
      </c>
      <c r="Q19" s="491" t="s">
        <v>282</v>
      </c>
      <c r="R19" s="267">
        <v>60000</v>
      </c>
      <c r="S19" s="267">
        <f>P19*R19</f>
        <v>27240000</v>
      </c>
      <c r="U19" s="311"/>
    </row>
    <row r="20" spans="1:21" s="242" customFormat="1" ht="12.75" customHeight="1">
      <c r="C20" s="489"/>
      <c r="D20" s="490"/>
      <c r="E20" s="491"/>
      <c r="F20" s="491"/>
      <c r="G20" s="491"/>
      <c r="H20" s="489"/>
      <c r="I20" s="321" t="s">
        <v>281</v>
      </c>
      <c r="J20" s="260"/>
      <c r="K20" s="265"/>
      <c r="L20" s="265"/>
      <c r="M20" s="265"/>
      <c r="N20" s="265"/>
      <c r="O20" s="490"/>
      <c r="P20" s="491">
        <v>186</v>
      </c>
      <c r="Q20" s="491" t="s">
        <v>282</v>
      </c>
      <c r="R20" s="267">
        <v>65000</v>
      </c>
      <c r="S20" s="267">
        <f t="shared" ref="S20:S21" si="0">P20*R20</f>
        <v>12090000</v>
      </c>
      <c r="U20" s="311"/>
    </row>
    <row r="21" spans="1:21" s="242" customFormat="1" ht="12.75" customHeight="1">
      <c r="C21" s="489"/>
      <c r="D21" s="490"/>
      <c r="E21" s="491"/>
      <c r="F21" s="491"/>
      <c r="G21" s="491"/>
      <c r="H21" s="489"/>
      <c r="I21" s="321" t="s">
        <v>325</v>
      </c>
      <c r="J21" s="260"/>
      <c r="K21" s="265"/>
      <c r="L21" s="265"/>
      <c r="M21" s="265"/>
      <c r="N21" s="265"/>
      <c r="O21" s="490"/>
      <c r="P21" s="491">
        <v>29</v>
      </c>
      <c r="Q21" s="491" t="s">
        <v>282</v>
      </c>
      <c r="R21" s="267">
        <v>85000</v>
      </c>
      <c r="S21" s="267">
        <f t="shared" si="0"/>
        <v>2465000</v>
      </c>
      <c r="U21" s="311"/>
    </row>
    <row r="22" spans="1:21" s="242" customFormat="1" ht="8.25" customHeight="1">
      <c r="C22" s="891"/>
      <c r="D22" s="891"/>
      <c r="E22" s="408"/>
      <c r="F22" s="408"/>
      <c r="G22" s="408"/>
      <c r="H22" s="493"/>
      <c r="I22" s="309"/>
      <c r="J22" s="309"/>
      <c r="K22" s="415"/>
      <c r="L22" s="415"/>
      <c r="M22" s="415"/>
      <c r="N22" s="415"/>
      <c r="O22" s="494"/>
      <c r="P22" s="408"/>
      <c r="Q22" s="408"/>
      <c r="R22" s="417"/>
      <c r="S22" s="417"/>
    </row>
    <row r="23" spans="1:21" s="242" customFormat="1" ht="15" customHeight="1">
      <c r="C23" s="875">
        <v>2</v>
      </c>
      <c r="D23" s="875"/>
      <c r="E23" s="491">
        <v>2</v>
      </c>
      <c r="F23" s="491">
        <v>15</v>
      </c>
      <c r="G23" s="491">
        <v>2</v>
      </c>
      <c r="H23" s="447" t="s">
        <v>14</v>
      </c>
      <c r="I23" s="310" t="s">
        <v>60</v>
      </c>
      <c r="J23" s="260"/>
      <c r="K23" s="265"/>
      <c r="L23" s="265"/>
      <c r="M23" s="265"/>
      <c r="N23" s="265"/>
      <c r="O23" s="490"/>
      <c r="P23" s="491"/>
      <c r="Q23" s="491"/>
      <c r="R23" s="267"/>
      <c r="S23" s="320">
        <f>SUM(S24:S64)</f>
        <v>130124050.40000001</v>
      </c>
      <c r="U23" s="311"/>
    </row>
    <row r="24" spans="1:21" s="242" customFormat="1" ht="12.75" customHeight="1">
      <c r="C24" s="875"/>
      <c r="D24" s="875"/>
      <c r="E24" s="491"/>
      <c r="F24" s="491"/>
      <c r="G24" s="491"/>
      <c r="H24" s="489"/>
      <c r="I24" s="260" t="s">
        <v>326</v>
      </c>
      <c r="J24" s="260"/>
      <c r="K24" s="260"/>
      <c r="L24" s="260"/>
      <c r="M24" s="260"/>
      <c r="N24" s="260"/>
      <c r="O24" s="262"/>
      <c r="P24" s="524">
        <v>66</v>
      </c>
      <c r="Q24" s="491" t="s">
        <v>182</v>
      </c>
      <c r="R24" s="267">
        <v>230000</v>
      </c>
      <c r="S24" s="267">
        <f t="shared" ref="S24:S64" si="1">P24*R24</f>
        <v>15180000</v>
      </c>
      <c r="U24" s="282"/>
    </row>
    <row r="25" spans="1:21" s="242" customFormat="1" ht="12.75" customHeight="1">
      <c r="C25" s="875"/>
      <c r="D25" s="875"/>
      <c r="E25" s="491"/>
      <c r="F25" s="491"/>
      <c r="G25" s="491"/>
      <c r="H25" s="489"/>
      <c r="I25" s="260" t="s">
        <v>327</v>
      </c>
      <c r="J25" s="260"/>
      <c r="K25" s="260"/>
      <c r="L25" s="260"/>
      <c r="M25" s="260"/>
      <c r="N25" s="260"/>
      <c r="O25" s="262"/>
      <c r="P25" s="524">
        <v>25.96</v>
      </c>
      <c r="Q25" s="491" t="s">
        <v>182</v>
      </c>
      <c r="R25" s="267">
        <v>230000</v>
      </c>
      <c r="S25" s="267">
        <f>P25*R25</f>
        <v>5970800</v>
      </c>
      <c r="U25" s="311"/>
    </row>
    <row r="26" spans="1:21" s="242" customFormat="1" ht="12.75" customHeight="1">
      <c r="C26" s="875"/>
      <c r="D26" s="875"/>
      <c r="E26" s="491"/>
      <c r="F26" s="491"/>
      <c r="G26" s="491"/>
      <c r="H26" s="489"/>
      <c r="I26" s="260" t="s">
        <v>62</v>
      </c>
      <c r="J26" s="260"/>
      <c r="K26" s="260"/>
      <c r="L26" s="260"/>
      <c r="M26" s="260"/>
      <c r="N26" s="260"/>
      <c r="O26" s="262"/>
      <c r="P26" s="524">
        <v>437</v>
      </c>
      <c r="Q26" s="491" t="s">
        <v>63</v>
      </c>
      <c r="R26" s="267">
        <v>65000</v>
      </c>
      <c r="S26" s="267">
        <f t="shared" si="1"/>
        <v>28405000</v>
      </c>
      <c r="U26" s="311">
        <v>129014700</v>
      </c>
    </row>
    <row r="27" spans="1:21" s="242" customFormat="1" ht="12.75" customHeight="1">
      <c r="C27" s="875"/>
      <c r="D27" s="875"/>
      <c r="E27" s="491"/>
      <c r="F27" s="491"/>
      <c r="G27" s="491"/>
      <c r="H27" s="489"/>
      <c r="I27" s="260" t="s">
        <v>328</v>
      </c>
      <c r="J27" s="260"/>
      <c r="K27" s="260"/>
      <c r="L27" s="260"/>
      <c r="M27" s="260"/>
      <c r="N27" s="260"/>
      <c r="O27" s="262"/>
      <c r="P27" s="524">
        <v>30</v>
      </c>
      <c r="Q27" s="491" t="s">
        <v>182</v>
      </c>
      <c r="R27" s="267">
        <v>85000</v>
      </c>
      <c r="S27" s="267">
        <f t="shared" ref="S27:S33" si="2">P27*R27</f>
        <v>2550000</v>
      </c>
      <c r="U27" s="271">
        <v>510000</v>
      </c>
    </row>
    <row r="28" spans="1:21" s="242" customFormat="1" ht="12.75" customHeight="1">
      <c r="C28" s="875"/>
      <c r="D28" s="875"/>
      <c r="E28" s="491"/>
      <c r="F28" s="491"/>
      <c r="G28" s="491"/>
      <c r="H28" s="489"/>
      <c r="I28" s="260" t="s">
        <v>329</v>
      </c>
      <c r="J28" s="260"/>
      <c r="K28" s="260"/>
      <c r="L28" s="260"/>
      <c r="M28" s="260"/>
      <c r="N28" s="260"/>
      <c r="O28" s="262"/>
      <c r="P28" s="317">
        <v>26704</v>
      </c>
      <c r="Q28" s="491" t="s">
        <v>365</v>
      </c>
      <c r="R28" s="267">
        <v>750</v>
      </c>
      <c r="S28" s="267">
        <f t="shared" si="2"/>
        <v>20028000</v>
      </c>
      <c r="U28" s="311">
        <f>SUM(U26:U27)</f>
        <v>129524700</v>
      </c>
    </row>
    <row r="29" spans="1:21" s="242" customFormat="1" ht="12.75" customHeight="1">
      <c r="C29" s="875"/>
      <c r="D29" s="875"/>
      <c r="E29" s="491"/>
      <c r="F29" s="491"/>
      <c r="G29" s="491"/>
      <c r="H29" s="489"/>
      <c r="I29" s="260" t="s">
        <v>330</v>
      </c>
      <c r="J29" s="260"/>
      <c r="K29" s="260"/>
      <c r="L29" s="260"/>
      <c r="M29" s="260"/>
      <c r="N29" s="260"/>
      <c r="O29" s="262"/>
      <c r="P29" s="524">
        <v>31.1</v>
      </c>
      <c r="Q29" s="491" t="s">
        <v>366</v>
      </c>
      <c r="R29" s="267">
        <v>250000</v>
      </c>
      <c r="S29" s="267">
        <f t="shared" si="2"/>
        <v>7775000</v>
      </c>
    </row>
    <row r="30" spans="1:21" s="242" customFormat="1" ht="12.75" customHeight="1">
      <c r="C30" s="875"/>
      <c r="D30" s="875"/>
      <c r="E30" s="491"/>
      <c r="F30" s="491"/>
      <c r="G30" s="491"/>
      <c r="H30" s="489"/>
      <c r="I30" s="260" t="s">
        <v>331</v>
      </c>
      <c r="J30" s="260"/>
      <c r="K30" s="260"/>
      <c r="L30" s="260"/>
      <c r="M30" s="260"/>
      <c r="N30" s="260"/>
      <c r="O30" s="262"/>
      <c r="P30" s="524">
        <v>19</v>
      </c>
      <c r="Q30" s="491" t="s">
        <v>366</v>
      </c>
      <c r="R30" s="267">
        <v>60000</v>
      </c>
      <c r="S30" s="267">
        <f t="shared" si="2"/>
        <v>1140000</v>
      </c>
    </row>
    <row r="31" spans="1:21" s="242" customFormat="1" ht="12.75" customHeight="1">
      <c r="C31" s="875"/>
      <c r="D31" s="875"/>
      <c r="E31" s="491"/>
      <c r="F31" s="491"/>
      <c r="G31" s="491"/>
      <c r="H31" s="489"/>
      <c r="I31" s="260" t="s">
        <v>544</v>
      </c>
      <c r="J31" s="260"/>
      <c r="K31" s="260"/>
      <c r="L31" s="260"/>
      <c r="M31" s="260"/>
      <c r="N31" s="260"/>
      <c r="O31" s="262"/>
      <c r="P31" s="524">
        <v>90</v>
      </c>
      <c r="Q31" s="491" t="s">
        <v>182</v>
      </c>
      <c r="R31" s="267">
        <v>70000</v>
      </c>
      <c r="S31" s="267">
        <f t="shared" si="2"/>
        <v>6300000</v>
      </c>
    </row>
    <row r="32" spans="1:21" s="242" customFormat="1" ht="12.75" customHeight="1">
      <c r="C32" s="875"/>
      <c r="D32" s="875"/>
      <c r="E32" s="491"/>
      <c r="F32" s="491"/>
      <c r="G32" s="491"/>
      <c r="H32" s="489"/>
      <c r="I32" s="260" t="s">
        <v>333</v>
      </c>
      <c r="J32" s="260"/>
      <c r="K32" s="260"/>
      <c r="L32" s="260"/>
      <c r="M32" s="260"/>
      <c r="N32" s="260"/>
      <c r="O32" s="262"/>
      <c r="P32" s="524">
        <v>0.48</v>
      </c>
      <c r="Q32" s="491" t="s">
        <v>182</v>
      </c>
      <c r="R32" s="267">
        <v>4000000</v>
      </c>
      <c r="S32" s="525">
        <f t="shared" si="2"/>
        <v>1920000</v>
      </c>
    </row>
    <row r="33" spans="3:19" s="242" customFormat="1" ht="12.75" customHeight="1">
      <c r="C33" s="875"/>
      <c r="D33" s="875"/>
      <c r="E33" s="491"/>
      <c r="F33" s="491"/>
      <c r="G33" s="491"/>
      <c r="H33" s="489"/>
      <c r="I33" s="260" t="s">
        <v>334</v>
      </c>
      <c r="J33" s="260"/>
      <c r="K33" s="260"/>
      <c r="L33" s="260"/>
      <c r="M33" s="260"/>
      <c r="N33" s="260"/>
      <c r="O33" s="262"/>
      <c r="P33" s="524">
        <v>3.17</v>
      </c>
      <c r="Q33" s="491" t="s">
        <v>182</v>
      </c>
      <c r="R33" s="267">
        <v>4000000</v>
      </c>
      <c r="S33" s="267">
        <f t="shared" si="2"/>
        <v>12680000</v>
      </c>
    </row>
    <row r="34" spans="3:19" s="242" customFormat="1" ht="12.75" customHeight="1">
      <c r="C34" s="875"/>
      <c r="D34" s="875"/>
      <c r="E34" s="491"/>
      <c r="F34" s="491"/>
      <c r="G34" s="491"/>
      <c r="H34" s="489"/>
      <c r="I34" s="260" t="s">
        <v>335</v>
      </c>
      <c r="J34" s="260"/>
      <c r="K34" s="260"/>
      <c r="L34" s="260"/>
      <c r="M34" s="260"/>
      <c r="N34" s="260"/>
      <c r="O34" s="262"/>
      <c r="P34" s="524">
        <v>1.45</v>
      </c>
      <c r="Q34" s="491" t="s">
        <v>367</v>
      </c>
      <c r="R34" s="267">
        <v>4000000</v>
      </c>
      <c r="S34" s="552">
        <v>5790.4</v>
      </c>
    </row>
    <row r="35" spans="3:19" s="242" customFormat="1" ht="12.75" customHeight="1">
      <c r="C35" s="875"/>
      <c r="D35" s="875"/>
      <c r="E35" s="491"/>
      <c r="F35" s="491"/>
      <c r="G35" s="491"/>
      <c r="H35" s="489"/>
      <c r="I35" s="260" t="s">
        <v>336</v>
      </c>
      <c r="J35" s="260"/>
      <c r="K35" s="260"/>
      <c r="L35" s="260"/>
      <c r="M35" s="260"/>
      <c r="N35" s="260"/>
      <c r="O35" s="262"/>
      <c r="P35" s="524">
        <v>8</v>
      </c>
      <c r="Q35" s="491" t="s">
        <v>367</v>
      </c>
      <c r="R35" s="267">
        <v>25000</v>
      </c>
      <c r="S35" s="267">
        <f t="shared" ref="S35:S62" si="3">P35*R35</f>
        <v>200000</v>
      </c>
    </row>
    <row r="36" spans="3:19" s="242" customFormat="1" ht="12.75" customHeight="1">
      <c r="C36" s="875"/>
      <c r="D36" s="875"/>
      <c r="E36" s="491"/>
      <c r="F36" s="491"/>
      <c r="G36" s="491"/>
      <c r="H36" s="489"/>
      <c r="I36" s="260" t="s">
        <v>337</v>
      </c>
      <c r="J36" s="260"/>
      <c r="K36" s="260"/>
      <c r="L36" s="260"/>
      <c r="M36" s="260"/>
      <c r="N36" s="260"/>
      <c r="O36" s="262"/>
      <c r="P36" s="524">
        <v>163</v>
      </c>
      <c r="Q36" s="491" t="s">
        <v>369</v>
      </c>
      <c r="R36" s="267">
        <v>45500</v>
      </c>
      <c r="S36" s="267">
        <f t="shared" si="3"/>
        <v>7416500</v>
      </c>
    </row>
    <row r="37" spans="3:19" s="242" customFormat="1" ht="12.75" customHeight="1">
      <c r="C37" s="875"/>
      <c r="D37" s="875"/>
      <c r="E37" s="491"/>
      <c r="F37" s="491"/>
      <c r="G37" s="491"/>
      <c r="H37" s="489"/>
      <c r="I37" s="260" t="s">
        <v>338</v>
      </c>
      <c r="J37" s="260"/>
      <c r="K37" s="260"/>
      <c r="L37" s="260"/>
      <c r="M37" s="260"/>
      <c r="N37" s="260"/>
      <c r="O37" s="262"/>
      <c r="P37" s="524">
        <v>22</v>
      </c>
      <c r="Q37" s="491" t="s">
        <v>367</v>
      </c>
      <c r="R37" s="267">
        <v>25000</v>
      </c>
      <c r="S37" s="267">
        <f t="shared" si="3"/>
        <v>550000</v>
      </c>
    </row>
    <row r="38" spans="3:19" s="242" customFormat="1" ht="12.75" customHeight="1">
      <c r="C38" s="875"/>
      <c r="D38" s="875"/>
      <c r="E38" s="491"/>
      <c r="F38" s="491"/>
      <c r="G38" s="491"/>
      <c r="H38" s="489"/>
      <c r="I38" s="260" t="s">
        <v>339</v>
      </c>
      <c r="J38" s="260"/>
      <c r="K38" s="260"/>
      <c r="L38" s="260"/>
      <c r="M38" s="260"/>
      <c r="N38" s="260"/>
      <c r="O38" s="262"/>
      <c r="P38" s="524">
        <v>5.46</v>
      </c>
      <c r="Q38" s="491" t="s">
        <v>370</v>
      </c>
      <c r="R38" s="267">
        <v>25000</v>
      </c>
      <c r="S38" s="267">
        <f t="shared" si="3"/>
        <v>136500</v>
      </c>
    </row>
    <row r="39" spans="3:19" s="242" customFormat="1" ht="12.75" customHeight="1">
      <c r="C39" s="875"/>
      <c r="D39" s="875"/>
      <c r="E39" s="491"/>
      <c r="F39" s="491"/>
      <c r="G39" s="491"/>
      <c r="H39" s="489"/>
      <c r="I39" s="260" t="s">
        <v>340</v>
      </c>
      <c r="J39" s="260"/>
      <c r="K39" s="260"/>
      <c r="L39" s="260"/>
      <c r="M39" s="260"/>
      <c r="N39" s="260"/>
      <c r="O39" s="262"/>
      <c r="P39" s="524">
        <v>25.13</v>
      </c>
      <c r="Q39" s="491" t="s">
        <v>370</v>
      </c>
      <c r="R39" s="267">
        <v>90000</v>
      </c>
      <c r="S39" s="267">
        <f t="shared" si="3"/>
        <v>2261700</v>
      </c>
    </row>
    <row r="40" spans="3:19" s="242" customFormat="1" ht="12.75" customHeight="1">
      <c r="C40" s="875"/>
      <c r="D40" s="875"/>
      <c r="E40" s="491"/>
      <c r="F40" s="491"/>
      <c r="G40" s="491"/>
      <c r="H40" s="489"/>
      <c r="I40" s="260" t="s">
        <v>341</v>
      </c>
      <c r="J40" s="260"/>
      <c r="K40" s="260"/>
      <c r="L40" s="260"/>
      <c r="M40" s="260"/>
      <c r="N40" s="260"/>
      <c r="O40" s="262"/>
      <c r="P40" s="524">
        <v>79</v>
      </c>
      <c r="Q40" s="491" t="s">
        <v>371</v>
      </c>
      <c r="R40" s="267">
        <v>65000</v>
      </c>
      <c r="S40" s="267">
        <f t="shared" si="3"/>
        <v>5135000</v>
      </c>
    </row>
    <row r="41" spans="3:19" s="242" customFormat="1" ht="12.75" customHeight="1">
      <c r="C41" s="875"/>
      <c r="D41" s="875"/>
      <c r="E41" s="491"/>
      <c r="F41" s="491"/>
      <c r="G41" s="491"/>
      <c r="H41" s="489"/>
      <c r="I41" s="260" t="s">
        <v>342</v>
      </c>
      <c r="J41" s="260"/>
      <c r="K41" s="260"/>
      <c r="L41" s="260"/>
      <c r="M41" s="260"/>
      <c r="N41" s="260"/>
      <c r="O41" s="262"/>
      <c r="P41" s="524">
        <v>46</v>
      </c>
      <c r="Q41" s="491" t="s">
        <v>367</v>
      </c>
      <c r="R41" s="267">
        <v>22000</v>
      </c>
      <c r="S41" s="267">
        <f t="shared" si="3"/>
        <v>1012000</v>
      </c>
    </row>
    <row r="42" spans="3:19" s="242" customFormat="1" ht="12.75" customHeight="1">
      <c r="C42" s="875"/>
      <c r="D42" s="875"/>
      <c r="E42" s="491"/>
      <c r="F42" s="491"/>
      <c r="G42" s="491"/>
      <c r="H42" s="489"/>
      <c r="I42" s="260" t="s">
        <v>343</v>
      </c>
      <c r="J42" s="260"/>
      <c r="K42" s="260"/>
      <c r="L42" s="260"/>
      <c r="M42" s="260"/>
      <c r="N42" s="260"/>
      <c r="O42" s="262"/>
      <c r="P42" s="524">
        <v>10</v>
      </c>
      <c r="Q42" s="491" t="s">
        <v>367</v>
      </c>
      <c r="R42" s="267">
        <v>18000</v>
      </c>
      <c r="S42" s="267">
        <f t="shared" si="3"/>
        <v>180000</v>
      </c>
    </row>
    <row r="43" spans="3:19" s="242" customFormat="1" ht="12.75" customHeight="1">
      <c r="C43" s="875"/>
      <c r="D43" s="875"/>
      <c r="E43" s="491"/>
      <c r="F43" s="491"/>
      <c r="G43" s="491"/>
      <c r="H43" s="489"/>
      <c r="I43" s="260" t="s">
        <v>344</v>
      </c>
      <c r="J43" s="260"/>
      <c r="K43" s="260"/>
      <c r="L43" s="260"/>
      <c r="M43" s="260"/>
      <c r="N43" s="260"/>
      <c r="O43" s="262"/>
      <c r="P43" s="524">
        <v>7.5</v>
      </c>
      <c r="Q43" s="491" t="s">
        <v>367</v>
      </c>
      <c r="R43" s="267">
        <v>48000</v>
      </c>
      <c r="S43" s="267">
        <f t="shared" si="3"/>
        <v>360000</v>
      </c>
    </row>
    <row r="44" spans="3:19" s="242" customFormat="1" ht="12.75" customHeight="1">
      <c r="C44" s="875"/>
      <c r="D44" s="875"/>
      <c r="E44" s="491"/>
      <c r="F44" s="491"/>
      <c r="G44" s="491"/>
      <c r="H44" s="489"/>
      <c r="I44" s="260" t="s">
        <v>345</v>
      </c>
      <c r="J44" s="260"/>
      <c r="K44" s="260"/>
      <c r="L44" s="260"/>
      <c r="M44" s="260"/>
      <c r="N44" s="260"/>
      <c r="O44" s="262"/>
      <c r="P44" s="524">
        <v>44</v>
      </c>
      <c r="Q44" s="491" t="s">
        <v>367</v>
      </c>
      <c r="R44" s="267">
        <v>25000</v>
      </c>
      <c r="S44" s="267">
        <f t="shared" si="3"/>
        <v>1100000</v>
      </c>
    </row>
    <row r="45" spans="3:19" s="242" customFormat="1" ht="12.75" customHeight="1">
      <c r="C45" s="875"/>
      <c r="D45" s="875"/>
      <c r="E45" s="491"/>
      <c r="F45" s="491"/>
      <c r="G45" s="491"/>
      <c r="H45" s="489"/>
      <c r="I45" s="260" t="s">
        <v>346</v>
      </c>
      <c r="J45" s="260"/>
      <c r="K45" s="260"/>
      <c r="L45" s="260"/>
      <c r="M45" s="260"/>
      <c r="N45" s="260"/>
      <c r="O45" s="262"/>
      <c r="P45" s="524">
        <v>9</v>
      </c>
      <c r="Q45" s="491" t="s">
        <v>367</v>
      </c>
      <c r="R45" s="267">
        <v>22500</v>
      </c>
      <c r="S45" s="267">
        <f t="shared" si="3"/>
        <v>202500</v>
      </c>
    </row>
    <row r="46" spans="3:19" s="242" customFormat="1" ht="12.75" customHeight="1">
      <c r="C46" s="875"/>
      <c r="D46" s="875"/>
      <c r="E46" s="491"/>
      <c r="F46" s="491"/>
      <c r="G46" s="491"/>
      <c r="H46" s="489"/>
      <c r="I46" s="260" t="s">
        <v>347</v>
      </c>
      <c r="J46" s="260"/>
      <c r="K46" s="260"/>
      <c r="L46" s="260"/>
      <c r="M46" s="260"/>
      <c r="N46" s="260"/>
      <c r="O46" s="262"/>
      <c r="P46" s="524">
        <v>2</v>
      </c>
      <c r="Q46" s="491" t="s">
        <v>372</v>
      </c>
      <c r="R46" s="267">
        <v>300000</v>
      </c>
      <c r="S46" s="267">
        <f t="shared" si="3"/>
        <v>600000</v>
      </c>
    </row>
    <row r="47" spans="3:19" s="242" customFormat="1" ht="12.75" customHeight="1">
      <c r="C47" s="875"/>
      <c r="D47" s="875"/>
      <c r="E47" s="491"/>
      <c r="F47" s="491"/>
      <c r="G47" s="491"/>
      <c r="H47" s="489"/>
      <c r="I47" s="260" t="s">
        <v>348</v>
      </c>
      <c r="J47" s="260"/>
      <c r="K47" s="260"/>
      <c r="L47" s="260"/>
      <c r="M47" s="260"/>
      <c r="N47" s="260"/>
      <c r="O47" s="262"/>
      <c r="P47" s="524">
        <v>1</v>
      </c>
      <c r="Q47" s="491" t="s">
        <v>182</v>
      </c>
      <c r="R47" s="267">
        <v>1500000</v>
      </c>
      <c r="S47" s="267">
        <f t="shared" si="3"/>
        <v>1500000</v>
      </c>
    </row>
    <row r="48" spans="3:19" s="242" customFormat="1" ht="12.75" customHeight="1">
      <c r="C48" s="875"/>
      <c r="D48" s="875"/>
      <c r="E48" s="491"/>
      <c r="F48" s="491"/>
      <c r="G48" s="491"/>
      <c r="H48" s="489"/>
      <c r="I48" s="260" t="s">
        <v>349</v>
      </c>
      <c r="J48" s="260"/>
      <c r="K48" s="260"/>
      <c r="L48" s="260"/>
      <c r="M48" s="260"/>
      <c r="N48" s="260"/>
      <c r="O48" s="262"/>
      <c r="P48" s="524">
        <v>2</v>
      </c>
      <c r="Q48" s="491" t="s">
        <v>365</v>
      </c>
      <c r="R48" s="267">
        <v>90000</v>
      </c>
      <c r="S48" s="267">
        <f t="shared" si="3"/>
        <v>180000</v>
      </c>
    </row>
    <row r="49" spans="3:23" s="242" customFormat="1" ht="12.75" customHeight="1">
      <c r="C49" s="875"/>
      <c r="D49" s="875"/>
      <c r="E49" s="491"/>
      <c r="F49" s="491"/>
      <c r="G49" s="491"/>
      <c r="H49" s="489"/>
      <c r="I49" s="260" t="s">
        <v>350</v>
      </c>
      <c r="J49" s="260"/>
      <c r="K49" s="260"/>
      <c r="L49" s="260"/>
      <c r="M49" s="260"/>
      <c r="N49" s="260"/>
      <c r="O49" s="262"/>
      <c r="P49" s="524">
        <v>5</v>
      </c>
      <c r="Q49" s="491" t="s">
        <v>365</v>
      </c>
      <c r="R49" s="267">
        <v>19800</v>
      </c>
      <c r="S49" s="267">
        <f t="shared" si="3"/>
        <v>99000</v>
      </c>
    </row>
    <row r="50" spans="3:23" s="242" customFormat="1" ht="12.75" customHeight="1">
      <c r="C50" s="875"/>
      <c r="D50" s="875"/>
      <c r="E50" s="491"/>
      <c r="F50" s="491"/>
      <c r="G50" s="491"/>
      <c r="H50" s="489"/>
      <c r="I50" s="260" t="s">
        <v>351</v>
      </c>
      <c r="J50" s="260"/>
      <c r="K50" s="260"/>
      <c r="L50" s="260"/>
      <c r="M50" s="260"/>
      <c r="N50" s="260"/>
      <c r="O50" s="262"/>
      <c r="P50" s="524">
        <v>9</v>
      </c>
      <c r="Q50" s="491" t="s">
        <v>365</v>
      </c>
      <c r="R50" s="267">
        <v>38300</v>
      </c>
      <c r="S50" s="267">
        <f t="shared" si="3"/>
        <v>344700</v>
      </c>
    </row>
    <row r="51" spans="3:23" s="242" customFormat="1" ht="12.75" customHeight="1">
      <c r="C51" s="875"/>
      <c r="D51" s="875"/>
      <c r="E51" s="491"/>
      <c r="F51" s="491"/>
      <c r="G51" s="491"/>
      <c r="H51" s="489"/>
      <c r="I51" s="260" t="s">
        <v>352</v>
      </c>
      <c r="J51" s="260"/>
      <c r="K51" s="260"/>
      <c r="L51" s="260"/>
      <c r="M51" s="260"/>
      <c r="N51" s="260"/>
      <c r="O51" s="262"/>
      <c r="P51" s="524">
        <v>12</v>
      </c>
      <c r="Q51" s="491" t="s">
        <v>365</v>
      </c>
      <c r="R51" s="267">
        <v>25800</v>
      </c>
      <c r="S51" s="267">
        <f t="shared" si="3"/>
        <v>309600</v>
      </c>
    </row>
    <row r="52" spans="3:23" s="242" customFormat="1" ht="12.75" customHeight="1">
      <c r="C52" s="875"/>
      <c r="D52" s="875"/>
      <c r="E52" s="491"/>
      <c r="F52" s="491"/>
      <c r="G52" s="491"/>
      <c r="H52" s="489"/>
      <c r="I52" s="260" t="s">
        <v>353</v>
      </c>
      <c r="J52" s="260"/>
      <c r="K52" s="260"/>
      <c r="L52" s="260"/>
      <c r="M52" s="260"/>
      <c r="N52" s="260"/>
      <c r="O52" s="262"/>
      <c r="P52" s="524">
        <v>12</v>
      </c>
      <c r="Q52" s="491" t="s">
        <v>365</v>
      </c>
      <c r="R52" s="267">
        <v>5000</v>
      </c>
      <c r="S52" s="267">
        <f t="shared" si="3"/>
        <v>60000</v>
      </c>
    </row>
    <row r="53" spans="3:23" s="242" customFormat="1" ht="12.75" customHeight="1">
      <c r="C53" s="875"/>
      <c r="D53" s="875"/>
      <c r="E53" s="491"/>
      <c r="F53" s="491"/>
      <c r="G53" s="491"/>
      <c r="H53" s="489"/>
      <c r="I53" s="260" t="s">
        <v>354</v>
      </c>
      <c r="J53" s="260"/>
      <c r="K53" s="260"/>
      <c r="L53" s="260"/>
      <c r="M53" s="260"/>
      <c r="N53" s="260"/>
      <c r="O53" s="262"/>
      <c r="P53" s="524">
        <v>2</v>
      </c>
      <c r="Q53" s="491" t="s">
        <v>365</v>
      </c>
      <c r="R53" s="267">
        <v>192980</v>
      </c>
      <c r="S53" s="267">
        <f t="shared" si="3"/>
        <v>385960</v>
      </c>
    </row>
    <row r="54" spans="3:23" s="242" customFormat="1" ht="12.75" customHeight="1">
      <c r="C54" s="875"/>
      <c r="D54" s="875"/>
      <c r="E54" s="491"/>
      <c r="F54" s="491"/>
      <c r="G54" s="491"/>
      <c r="H54" s="489"/>
      <c r="I54" s="260" t="s">
        <v>399</v>
      </c>
      <c r="J54" s="260"/>
      <c r="K54" s="260"/>
      <c r="L54" s="260"/>
      <c r="M54" s="260"/>
      <c r="N54" s="260"/>
      <c r="O54" s="262"/>
      <c r="P54" s="524">
        <v>5</v>
      </c>
      <c r="Q54" s="491" t="s">
        <v>371</v>
      </c>
      <c r="R54" s="267">
        <v>65000</v>
      </c>
      <c r="S54" s="267">
        <f t="shared" si="3"/>
        <v>325000</v>
      </c>
      <c r="U54" s="311">
        <f>Sheet1!I33</f>
        <v>-0.39999997615814209</v>
      </c>
      <c r="V54" s="282">
        <f>U54/2</f>
        <v>-0.19999998807907104</v>
      </c>
    </row>
    <row r="55" spans="3:23" s="242" customFormat="1" ht="12.75" customHeight="1">
      <c r="C55" s="875"/>
      <c r="D55" s="875"/>
      <c r="E55" s="491"/>
      <c r="F55" s="491"/>
      <c r="G55" s="491"/>
      <c r="H55" s="489"/>
      <c r="I55" s="260" t="s">
        <v>400</v>
      </c>
      <c r="J55" s="260"/>
      <c r="K55" s="260"/>
      <c r="L55" s="260"/>
      <c r="M55" s="260"/>
      <c r="N55" s="260"/>
      <c r="O55" s="262"/>
      <c r="P55" s="524">
        <v>4</v>
      </c>
      <c r="Q55" s="491" t="s">
        <v>365</v>
      </c>
      <c r="R55" s="267">
        <v>6500</v>
      </c>
      <c r="S55" s="267">
        <f t="shared" si="3"/>
        <v>26000</v>
      </c>
      <c r="U55" s="311">
        <f>R53+U54</f>
        <v>192979.60000002384</v>
      </c>
    </row>
    <row r="56" spans="3:23" s="242" customFormat="1" ht="12.75" customHeight="1">
      <c r="C56" s="875"/>
      <c r="D56" s="875"/>
      <c r="E56" s="491"/>
      <c r="F56" s="491"/>
      <c r="G56" s="491"/>
      <c r="H56" s="489"/>
      <c r="I56" s="260" t="s">
        <v>401</v>
      </c>
      <c r="J56" s="260"/>
      <c r="K56" s="260"/>
      <c r="L56" s="260"/>
      <c r="M56" s="260"/>
      <c r="N56" s="260"/>
      <c r="O56" s="262"/>
      <c r="P56" s="524">
        <v>4</v>
      </c>
      <c r="Q56" s="491" t="s">
        <v>365</v>
      </c>
      <c r="R56" s="267">
        <v>3500</v>
      </c>
      <c r="S56" s="267">
        <f t="shared" si="3"/>
        <v>14000</v>
      </c>
      <c r="V56" s="515">
        <f>R53+V54</f>
        <v>192979.80000001192</v>
      </c>
      <c r="W56" s="242">
        <f>215960-45960</f>
        <v>170000</v>
      </c>
    </row>
    <row r="57" spans="3:23" s="242" customFormat="1" ht="12.75" customHeight="1">
      <c r="C57" s="875"/>
      <c r="D57" s="875"/>
      <c r="E57" s="491"/>
      <c r="F57" s="491"/>
      <c r="G57" s="491"/>
      <c r="H57" s="489"/>
      <c r="I57" s="260" t="s">
        <v>402</v>
      </c>
      <c r="J57" s="260"/>
      <c r="K57" s="260"/>
      <c r="L57" s="260"/>
      <c r="M57" s="260"/>
      <c r="N57" s="260"/>
      <c r="O57" s="262"/>
      <c r="P57" s="524">
        <v>5</v>
      </c>
      <c r="Q57" s="491" t="s">
        <v>371</v>
      </c>
      <c r="R57" s="267">
        <v>20000</v>
      </c>
      <c r="S57" s="267">
        <f t="shared" si="3"/>
        <v>100000</v>
      </c>
    </row>
    <row r="58" spans="3:23" s="242" customFormat="1" ht="12.75" customHeight="1">
      <c r="C58" s="875"/>
      <c r="D58" s="875"/>
      <c r="E58" s="491"/>
      <c r="F58" s="491"/>
      <c r="G58" s="491"/>
      <c r="H58" s="489"/>
      <c r="I58" s="260" t="s">
        <v>359</v>
      </c>
      <c r="J58" s="260"/>
      <c r="K58" s="260"/>
      <c r="L58" s="260"/>
      <c r="M58" s="260"/>
      <c r="N58" s="260"/>
      <c r="O58" s="262"/>
      <c r="P58" s="524">
        <v>1</v>
      </c>
      <c r="Q58" s="491" t="s">
        <v>373</v>
      </c>
      <c r="R58" s="267">
        <v>4500000</v>
      </c>
      <c r="S58" s="267">
        <f t="shared" si="3"/>
        <v>4500000</v>
      </c>
    </row>
    <row r="59" spans="3:23" s="242" customFormat="1" ht="12.75" customHeight="1">
      <c r="C59" s="875"/>
      <c r="D59" s="875"/>
      <c r="E59" s="491"/>
      <c r="F59" s="491"/>
      <c r="G59" s="491"/>
      <c r="H59" s="489"/>
      <c r="I59" s="260" t="s">
        <v>360</v>
      </c>
      <c r="J59" s="260"/>
      <c r="K59" s="260"/>
      <c r="L59" s="260"/>
      <c r="M59" s="260"/>
      <c r="N59" s="260"/>
      <c r="O59" s="262"/>
      <c r="P59" s="524">
        <v>1</v>
      </c>
      <c r="Q59" s="491" t="s">
        <v>55</v>
      </c>
      <c r="R59" s="267">
        <v>20000</v>
      </c>
      <c r="S59" s="267">
        <f t="shared" si="3"/>
        <v>20000</v>
      </c>
    </row>
    <row r="60" spans="3:23" s="242" customFormat="1" ht="12.75" customHeight="1">
      <c r="C60" s="875"/>
      <c r="D60" s="875"/>
      <c r="E60" s="491"/>
      <c r="F60" s="491"/>
      <c r="G60" s="491"/>
      <c r="H60" s="489"/>
      <c r="I60" s="260" t="s">
        <v>361</v>
      </c>
      <c r="J60" s="260"/>
      <c r="K60" s="260"/>
      <c r="L60" s="260"/>
      <c r="M60" s="260"/>
      <c r="N60" s="260"/>
      <c r="O60" s="262"/>
      <c r="P60" s="524">
        <v>2</v>
      </c>
      <c r="Q60" s="491" t="s">
        <v>55</v>
      </c>
      <c r="R60" s="267">
        <v>50000</v>
      </c>
      <c r="S60" s="267">
        <f t="shared" si="3"/>
        <v>100000</v>
      </c>
    </row>
    <row r="61" spans="3:23" s="242" customFormat="1" ht="12.75" customHeight="1">
      <c r="C61" s="875"/>
      <c r="D61" s="875"/>
      <c r="E61" s="491"/>
      <c r="F61" s="491"/>
      <c r="G61" s="491"/>
      <c r="H61" s="489"/>
      <c r="I61" s="260" t="s">
        <v>362</v>
      </c>
      <c r="J61" s="260"/>
      <c r="K61" s="260"/>
      <c r="L61" s="260"/>
      <c r="M61" s="260"/>
      <c r="N61" s="260"/>
      <c r="O61" s="262"/>
      <c r="P61" s="524">
        <v>1</v>
      </c>
      <c r="Q61" s="491" t="s">
        <v>55</v>
      </c>
      <c r="R61" s="267">
        <v>27700</v>
      </c>
      <c r="S61" s="267">
        <f t="shared" si="3"/>
        <v>27700</v>
      </c>
      <c r="U61" s="311">
        <f>SUM(S24:S61)</f>
        <v>129100750.40000001</v>
      </c>
    </row>
    <row r="62" spans="3:23" s="242" customFormat="1" ht="12.75" customHeight="1">
      <c r="C62" s="875"/>
      <c r="D62" s="875"/>
      <c r="E62" s="491"/>
      <c r="F62" s="491"/>
      <c r="G62" s="491"/>
      <c r="H62" s="489"/>
      <c r="I62" s="260" t="s">
        <v>363</v>
      </c>
      <c r="J62" s="260"/>
      <c r="K62" s="260"/>
      <c r="L62" s="260"/>
      <c r="M62" s="260"/>
      <c r="N62" s="260"/>
      <c r="O62" s="262"/>
      <c r="P62" s="524">
        <v>1</v>
      </c>
      <c r="Q62" s="491" t="s">
        <v>374</v>
      </c>
      <c r="R62" s="267">
        <v>160000</v>
      </c>
      <c r="S62" s="267">
        <f t="shared" si="3"/>
        <v>160000</v>
      </c>
      <c r="U62" s="311">
        <f>SUM(S62:S64)</f>
        <v>1023300</v>
      </c>
    </row>
    <row r="63" spans="3:23" s="242" customFormat="1" ht="12.75" customHeight="1">
      <c r="C63" s="875"/>
      <c r="D63" s="875"/>
      <c r="E63" s="491"/>
      <c r="F63" s="491"/>
      <c r="G63" s="491"/>
      <c r="H63" s="489"/>
      <c r="I63" s="260" t="s">
        <v>364</v>
      </c>
      <c r="J63" s="260"/>
      <c r="K63" s="260"/>
      <c r="L63" s="260"/>
      <c r="M63" s="260"/>
      <c r="N63" s="260"/>
      <c r="O63" s="262"/>
      <c r="P63" s="524">
        <v>1</v>
      </c>
      <c r="Q63" s="491" t="s">
        <v>55</v>
      </c>
      <c r="R63" s="267">
        <v>413300</v>
      </c>
      <c r="S63" s="267">
        <f t="shared" si="1"/>
        <v>413300</v>
      </c>
    </row>
    <row r="64" spans="3:23" s="242" customFormat="1" ht="12.75" customHeight="1">
      <c r="C64" s="886"/>
      <c r="D64" s="887"/>
      <c r="E64" s="335"/>
      <c r="F64" s="335"/>
      <c r="G64" s="335"/>
      <c r="H64" s="334"/>
      <c r="I64" s="337" t="s">
        <v>569</v>
      </c>
      <c r="J64" s="337"/>
      <c r="K64" s="337"/>
      <c r="L64" s="337"/>
      <c r="M64" s="337"/>
      <c r="N64" s="337"/>
      <c r="O64" s="390"/>
      <c r="P64" s="526">
        <v>1</v>
      </c>
      <c r="Q64" s="335" t="s">
        <v>374</v>
      </c>
      <c r="R64" s="340">
        <v>450000</v>
      </c>
      <c r="S64" s="340">
        <f t="shared" si="1"/>
        <v>450000</v>
      </c>
    </row>
    <row r="65" spans="3:19" s="242" customFormat="1" ht="15" customHeight="1">
      <c r="C65" s="872"/>
      <c r="D65" s="872"/>
      <c r="E65" s="488"/>
      <c r="F65" s="488"/>
      <c r="G65" s="488"/>
      <c r="H65" s="848" t="s">
        <v>163</v>
      </c>
      <c r="I65" s="849"/>
      <c r="J65" s="849"/>
      <c r="K65" s="849"/>
      <c r="L65" s="849"/>
      <c r="M65" s="849"/>
      <c r="N65" s="849"/>
      <c r="O65" s="850"/>
      <c r="P65" s="449"/>
      <c r="Q65" s="449"/>
      <c r="R65" s="349"/>
      <c r="S65" s="350">
        <f>SUM(S18+S23)</f>
        <v>171919050.40000001</v>
      </c>
    </row>
    <row r="66" spans="3:19" s="242" customFormat="1" ht="16.5">
      <c r="C66" s="451"/>
      <c r="D66" s="451"/>
      <c r="E66" s="451"/>
      <c r="F66" s="451"/>
      <c r="G66" s="451"/>
      <c r="H66" s="452"/>
      <c r="I66" s="452"/>
      <c r="J66" s="452"/>
      <c r="K66" s="354"/>
      <c r="L66" s="354"/>
      <c r="M66" s="354"/>
      <c r="N66" s="354"/>
      <c r="O66" s="354"/>
      <c r="P66" s="354"/>
      <c r="Q66" s="354"/>
      <c r="R66" s="453"/>
      <c r="S66" s="553"/>
    </row>
    <row r="67" spans="3:19" s="242" customFormat="1" ht="16.5">
      <c r="C67" s="286"/>
      <c r="D67" s="286"/>
      <c r="E67" s="286"/>
      <c r="F67" s="286"/>
      <c r="G67" s="286"/>
      <c r="H67" s="455"/>
      <c r="I67" s="455"/>
      <c r="J67" s="455"/>
      <c r="K67" s="284"/>
      <c r="L67" s="284"/>
      <c r="M67" s="284"/>
      <c r="N67" s="284"/>
      <c r="O67" s="284"/>
      <c r="P67" s="284"/>
      <c r="Q67" s="284"/>
      <c r="R67" s="352"/>
      <c r="S67" s="554"/>
    </row>
    <row r="68" spans="3:19" s="242" customFormat="1" ht="16.5">
      <c r="C68" s="286"/>
      <c r="D68" s="286"/>
      <c r="E68" s="286"/>
      <c r="F68" s="286"/>
      <c r="G68" s="286"/>
      <c r="H68" s="455"/>
      <c r="I68" s="455"/>
      <c r="J68" s="455"/>
      <c r="K68" s="284"/>
      <c r="L68" s="284"/>
      <c r="M68" s="284"/>
      <c r="N68" s="284"/>
      <c r="O68" s="284"/>
      <c r="P68" s="284"/>
      <c r="Q68" s="284"/>
      <c r="R68" s="352"/>
      <c r="S68" s="554"/>
    </row>
    <row r="69" spans="3:19" s="242" customFormat="1" ht="16.5">
      <c r="C69" s="286"/>
      <c r="D69" s="286"/>
      <c r="E69" s="286"/>
      <c r="F69" s="286"/>
      <c r="G69" s="286"/>
      <c r="H69" s="455"/>
      <c r="I69" s="455"/>
      <c r="J69" s="455"/>
      <c r="K69" s="284"/>
      <c r="L69" s="284"/>
      <c r="M69" s="284"/>
      <c r="N69" s="284"/>
      <c r="O69" s="284"/>
      <c r="P69" s="284"/>
      <c r="Q69" s="284"/>
      <c r="R69" s="352"/>
      <c r="S69" s="554"/>
    </row>
    <row r="70" spans="3:19" s="242" customFormat="1" ht="16.5">
      <c r="C70" s="286"/>
      <c r="D70" s="286"/>
      <c r="E70" s="286"/>
      <c r="F70" s="286"/>
      <c r="G70" s="286"/>
      <c r="H70" s="455"/>
      <c r="I70" s="455"/>
      <c r="J70" s="455"/>
      <c r="K70" s="284"/>
      <c r="L70" s="284"/>
      <c r="M70" s="284"/>
      <c r="N70" s="284"/>
      <c r="O70" s="284"/>
      <c r="P70" s="284"/>
      <c r="Q70" s="284"/>
      <c r="R70" s="352"/>
      <c r="S70" s="554"/>
    </row>
    <row r="71" spans="3:19" s="242" customFormat="1" ht="16.5">
      <c r="C71" s="286"/>
      <c r="D71" s="286"/>
      <c r="E71" s="286"/>
      <c r="F71" s="286"/>
      <c r="G71" s="286"/>
      <c r="H71" s="455"/>
      <c r="I71" s="455"/>
      <c r="J71" s="455"/>
      <c r="K71" s="284"/>
      <c r="L71" s="284"/>
      <c r="M71" s="284"/>
      <c r="N71" s="284"/>
      <c r="O71" s="284"/>
      <c r="P71" s="284"/>
      <c r="Q71" s="284"/>
      <c r="R71" s="352"/>
      <c r="S71" s="554"/>
    </row>
    <row r="72" spans="3:19" s="242" customFormat="1" ht="16.5">
      <c r="C72" s="286"/>
      <c r="D72" s="286"/>
      <c r="E72" s="286"/>
      <c r="F72" s="286"/>
      <c r="G72" s="286"/>
      <c r="H72" s="455"/>
      <c r="I72" s="455"/>
      <c r="J72" s="455"/>
      <c r="K72" s="284"/>
      <c r="L72" s="284"/>
      <c r="M72" s="284"/>
      <c r="N72" s="284"/>
      <c r="O72" s="284"/>
      <c r="P72" s="284"/>
      <c r="Q72" s="284"/>
      <c r="R72" s="352"/>
      <c r="S72" s="554"/>
    </row>
    <row r="73" spans="3:19" s="242" customFormat="1" ht="16.5">
      <c r="C73" s="286"/>
      <c r="D73" s="286"/>
      <c r="E73" s="286"/>
      <c r="F73" s="286"/>
      <c r="G73" s="286"/>
      <c r="H73" s="455"/>
      <c r="I73" s="455"/>
      <c r="J73" s="455"/>
      <c r="K73" s="284"/>
      <c r="L73" s="284"/>
      <c r="M73" s="284"/>
      <c r="N73" s="284"/>
      <c r="O73" s="284"/>
      <c r="P73" s="284"/>
      <c r="Q73" s="284"/>
      <c r="R73" s="352"/>
      <c r="S73" s="554"/>
    </row>
    <row r="74" spans="3:19" s="242" customFormat="1" ht="16.5">
      <c r="C74" s="286"/>
      <c r="D74" s="286"/>
      <c r="E74" s="286"/>
      <c r="F74" s="286"/>
      <c r="G74" s="286"/>
      <c r="H74" s="455"/>
      <c r="I74" s="455"/>
      <c r="J74" s="455"/>
      <c r="K74" s="284"/>
      <c r="L74" s="284"/>
      <c r="M74" s="284"/>
      <c r="N74" s="284"/>
      <c r="O74" s="284"/>
      <c r="P74" s="284"/>
      <c r="Q74" s="284"/>
      <c r="R74" s="352"/>
      <c r="S74" s="554"/>
    </row>
    <row r="75" spans="3:19" s="242" customFormat="1" ht="16.5">
      <c r="C75" s="286"/>
      <c r="D75" s="286"/>
      <c r="E75" s="286"/>
      <c r="F75" s="286"/>
      <c r="G75" s="286"/>
      <c r="H75" s="455"/>
      <c r="I75" s="455"/>
      <c r="J75" s="455"/>
      <c r="K75" s="284"/>
      <c r="L75" s="284"/>
      <c r="M75" s="284"/>
      <c r="N75" s="284"/>
      <c r="O75" s="284"/>
      <c r="P75" s="284"/>
      <c r="Q75" s="284"/>
      <c r="R75" s="352"/>
      <c r="S75" s="554"/>
    </row>
    <row r="76" spans="3:19" s="242" customFormat="1" ht="16.5">
      <c r="C76" s="450"/>
      <c r="D76" s="451"/>
      <c r="E76" s="451"/>
      <c r="F76" s="451"/>
      <c r="G76" s="451"/>
      <c r="H76" s="452"/>
      <c r="I76" s="452"/>
      <c r="J76" s="452"/>
      <c r="K76" s="354"/>
      <c r="L76" s="354"/>
      <c r="M76" s="354"/>
      <c r="N76" s="354"/>
      <c r="O76" s="354"/>
      <c r="P76" s="354"/>
      <c r="Q76" s="354"/>
      <c r="R76" s="453"/>
      <c r="S76" s="454"/>
    </row>
    <row r="77" spans="3:19" s="242" customFormat="1" ht="16.5">
      <c r="C77" s="351"/>
      <c r="D77" s="286"/>
      <c r="E77" s="286"/>
      <c r="F77" s="286"/>
      <c r="G77" s="286"/>
      <c r="H77" s="455"/>
      <c r="I77" s="455"/>
      <c r="J77" s="455"/>
      <c r="K77" s="284"/>
      <c r="L77" s="284"/>
      <c r="M77" s="284"/>
      <c r="N77" s="284"/>
      <c r="O77" s="284"/>
      <c r="P77" s="284"/>
      <c r="Q77" s="284"/>
      <c r="R77" s="352"/>
      <c r="S77" s="353"/>
    </row>
    <row r="78" spans="3:19" s="242" customFormat="1" ht="16.5">
      <c r="C78" s="351"/>
      <c r="D78" s="286"/>
      <c r="E78" s="286"/>
      <c r="F78" s="286"/>
      <c r="G78" s="286"/>
      <c r="H78" s="455"/>
      <c r="I78" s="455"/>
      <c r="J78" s="455"/>
      <c r="K78" s="284"/>
      <c r="L78" s="284"/>
      <c r="M78" s="284"/>
      <c r="N78" s="284"/>
      <c r="O78" s="284"/>
      <c r="P78" s="284"/>
      <c r="Q78" s="284"/>
      <c r="R78" s="352" t="s">
        <v>552</v>
      </c>
      <c r="S78" s="353"/>
    </row>
    <row r="79" spans="3:19" s="242" customFormat="1" ht="16.5">
      <c r="C79" s="283"/>
      <c r="D79" s="284"/>
      <c r="E79" s="284"/>
      <c r="F79" s="284"/>
      <c r="G79" s="284"/>
      <c r="H79" s="284"/>
      <c r="I79" s="286" t="s">
        <v>168</v>
      </c>
      <c r="J79" s="284"/>
      <c r="K79" s="284"/>
      <c r="L79" s="284"/>
      <c r="M79" s="284"/>
      <c r="N79" s="284"/>
      <c r="O79" s="284"/>
      <c r="P79" s="284"/>
      <c r="Q79" s="284"/>
      <c r="R79" s="469" t="s">
        <v>193</v>
      </c>
      <c r="S79" s="285"/>
    </row>
    <row r="80" spans="3:19" s="242" customFormat="1" ht="16.5">
      <c r="C80" s="283"/>
      <c r="D80" s="284"/>
      <c r="E80" s="284"/>
      <c r="F80" s="284"/>
      <c r="G80" s="284"/>
      <c r="H80" s="284"/>
      <c r="I80" s="286" t="s">
        <v>298</v>
      </c>
      <c r="J80" s="284"/>
      <c r="K80" s="284"/>
      <c r="L80" s="284"/>
      <c r="M80" s="284"/>
      <c r="N80" s="284"/>
      <c r="O80" s="284"/>
      <c r="P80" s="284"/>
      <c r="Q80" s="284"/>
      <c r="R80" s="284"/>
      <c r="S80" s="285"/>
    </row>
    <row r="81" spans="3:19" s="242" customFormat="1" ht="16.5">
      <c r="C81" s="283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5"/>
    </row>
    <row r="82" spans="3:19" s="242" customFormat="1" ht="16.5">
      <c r="C82" s="283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5"/>
    </row>
    <row r="83" spans="3:19" s="242" customFormat="1" ht="16.5">
      <c r="C83" s="283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5"/>
    </row>
    <row r="84" spans="3:19" s="242" customFormat="1" ht="16.5">
      <c r="C84" s="283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5"/>
    </row>
    <row r="85" spans="3:19" s="242" customFormat="1" ht="16.5">
      <c r="C85" s="283"/>
      <c r="D85" s="284"/>
      <c r="E85" s="284"/>
      <c r="F85" s="284"/>
      <c r="G85" s="284"/>
      <c r="H85" s="284"/>
      <c r="I85" s="286" t="s">
        <v>304</v>
      </c>
      <c r="J85" s="284"/>
      <c r="K85" s="284"/>
      <c r="L85" s="284"/>
      <c r="M85" s="284"/>
      <c r="N85" s="284"/>
      <c r="O85" s="284"/>
      <c r="P85" s="284"/>
      <c r="Q85" s="284"/>
      <c r="R85" s="469" t="s">
        <v>322</v>
      </c>
      <c r="S85" s="285"/>
    </row>
    <row r="86" spans="3:19" s="242" customFormat="1" ht="16.5">
      <c r="C86" s="287"/>
      <c r="D86" s="288"/>
      <c r="E86" s="288"/>
      <c r="F86" s="288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9"/>
    </row>
    <row r="87" spans="3:19" s="242" customFormat="1" ht="16.5"/>
    <row r="88" spans="3:19" s="242" customFormat="1" ht="16.5"/>
    <row r="89" spans="3:19" s="242" customFormat="1" ht="16.5"/>
    <row r="90" spans="3:19" s="242" customFormat="1" ht="16.5"/>
    <row r="91" spans="3:19" s="242" customFormat="1" ht="16.5"/>
    <row r="92" spans="3:19" s="242" customFormat="1" ht="16.5"/>
    <row r="93" spans="3:19" s="242" customFormat="1" ht="16.5"/>
    <row r="94" spans="3:19" s="242" customFormat="1" ht="16.5"/>
    <row r="95" spans="3:19" s="242" customFormat="1" ht="16.5"/>
    <row r="96" spans="3:19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  <row r="193" s="242" customFormat="1" ht="16.5"/>
    <row r="194" s="242" customFormat="1" ht="16.5"/>
    <row r="195" s="242" customFormat="1" ht="16.5"/>
    <row r="196" s="242" customFormat="1" ht="16.5"/>
    <row r="197" s="242" customFormat="1" ht="16.5"/>
    <row r="198" s="242" customFormat="1" ht="16.5"/>
    <row r="199" s="242" customFormat="1" ht="16.5"/>
    <row r="200" s="242" customFormat="1" ht="16.5"/>
    <row r="201" s="242" customFormat="1" ht="16.5"/>
    <row r="202" s="242" customFormat="1" ht="16.5"/>
    <row r="203" s="242" customFormat="1" ht="16.5"/>
    <row r="204" s="242" customFormat="1" ht="16.5"/>
    <row r="205" s="242" customFormat="1" ht="16.5"/>
    <row r="206" s="242" customFormat="1" ht="16.5"/>
    <row r="207" s="242" customFormat="1" ht="16.5"/>
    <row r="208" s="242" customFormat="1" ht="16.5"/>
    <row r="209" s="242" customFormat="1" ht="16.5"/>
    <row r="210" s="242" customFormat="1" ht="16.5"/>
    <row r="211" s="242" customFormat="1" ht="16.5"/>
    <row r="212" s="242" customFormat="1" ht="16.5"/>
    <row r="213" s="242" customFormat="1" ht="16.5"/>
    <row r="214" s="242" customFormat="1" ht="16.5"/>
    <row r="215" s="242" customFormat="1" ht="16.5"/>
    <row r="216" s="242" customFormat="1" ht="16.5"/>
    <row r="217" s="242" customFormat="1" ht="16.5"/>
    <row r="218" s="242" customFormat="1" ht="16.5"/>
    <row r="219" s="242" customFormat="1" ht="16.5"/>
    <row r="220" s="242" customFormat="1" ht="16.5"/>
    <row r="221" s="242" customFormat="1" ht="16.5"/>
    <row r="222" s="242" customFormat="1" ht="16.5"/>
    <row r="223" s="242" customFormat="1" ht="16.5"/>
    <row r="224" s="242" customFormat="1" ht="16.5"/>
    <row r="225" s="242" customFormat="1" ht="16.5"/>
    <row r="226" s="242" customFormat="1" ht="16.5"/>
    <row r="227" s="242" customFormat="1" ht="16.5"/>
    <row r="228" s="242" customFormat="1" ht="16.5"/>
    <row r="229" s="242" customFormat="1" ht="16.5"/>
    <row r="230" s="242" customFormat="1" ht="16.5"/>
    <row r="231" s="242" customFormat="1" ht="16.5"/>
    <row r="232" s="242" customFormat="1" ht="16.5"/>
    <row r="233" s="242" customFormat="1" ht="16.5"/>
    <row r="234" s="242" customFormat="1" ht="16.5"/>
    <row r="235" s="242" customFormat="1" ht="16.5"/>
    <row r="236" s="242" customFormat="1" ht="16.5"/>
    <row r="237" s="242" customFormat="1" ht="16.5"/>
    <row r="238" s="242" customFormat="1" ht="16.5"/>
    <row r="239" s="242" customFormat="1" ht="16.5"/>
    <row r="240" s="242" customFormat="1" ht="16.5"/>
    <row r="241" s="242" customFormat="1" ht="16.5"/>
    <row r="242" s="242" customFormat="1" ht="16.5"/>
    <row r="243" s="242" customFormat="1" ht="16.5"/>
    <row r="244" s="242" customFormat="1" ht="16.5"/>
    <row r="245" s="242" customFormat="1" ht="16.5"/>
    <row r="246" s="242" customFormat="1" ht="16.5"/>
    <row r="247" s="242" customFormat="1" ht="16.5"/>
    <row r="248" s="242" customFormat="1" ht="16.5"/>
    <row r="249" s="242" customFormat="1" ht="16.5"/>
    <row r="250" s="242" customFormat="1" ht="16.5"/>
    <row r="251" s="242" customFormat="1" ht="16.5"/>
    <row r="252" s="242" customFormat="1" ht="16.5"/>
    <row r="253" s="242" customFormat="1" ht="16.5"/>
    <row r="254" s="242" customFormat="1" ht="16.5"/>
    <row r="255" s="242" customFormat="1" ht="16.5"/>
    <row r="256" s="242" customFormat="1" ht="16.5"/>
    <row r="257" s="242" customFormat="1" ht="16.5"/>
    <row r="258" s="242" customFormat="1" ht="16.5"/>
    <row r="259" s="242" customFormat="1" ht="16.5"/>
    <row r="260" s="242" customFormat="1" ht="16.5"/>
    <row r="261" s="242" customFormat="1" ht="16.5"/>
    <row r="262" s="242" customFormat="1" ht="16.5"/>
    <row r="263" s="242" customFormat="1" ht="16.5"/>
    <row r="264" s="242" customFormat="1" ht="16.5"/>
    <row r="265" s="242" customFormat="1" ht="16.5"/>
    <row r="266" s="242" customFormat="1" ht="16.5"/>
    <row r="267" s="242" customFormat="1" ht="16.5"/>
    <row r="268" s="242" customFormat="1" ht="16.5"/>
    <row r="269" s="242" customFormat="1" ht="16.5"/>
    <row r="270" s="242" customFormat="1" ht="16.5"/>
    <row r="271" s="242" customFormat="1" ht="16.5"/>
    <row r="272" s="242" customFormat="1" ht="16.5"/>
    <row r="273" s="242" customFormat="1" ht="16.5"/>
    <row r="274" s="242" customFormat="1" ht="16.5"/>
    <row r="275" s="242" customFormat="1" ht="16.5"/>
    <row r="276" s="242" customFormat="1" ht="16.5"/>
    <row r="277" s="242" customFormat="1" ht="16.5"/>
    <row r="278" s="242" customFormat="1" ht="16.5"/>
    <row r="279" s="242" customFormat="1" ht="16.5"/>
    <row r="280" s="242" customFormat="1" ht="16.5"/>
    <row r="281" s="242" customFormat="1" ht="16.5"/>
    <row r="282" s="242" customFormat="1" ht="16.5"/>
    <row r="283" s="242" customFormat="1" ht="16.5"/>
    <row r="284" s="242" customFormat="1" ht="16.5"/>
    <row r="285" s="242" customFormat="1" ht="16.5"/>
    <row r="286" s="242" customFormat="1" ht="16.5"/>
    <row r="287" s="242" customFormat="1" ht="16.5"/>
    <row r="288" s="242" customFormat="1" ht="16.5"/>
    <row r="289" s="242" customFormat="1" ht="16.5"/>
    <row r="290" s="242" customFormat="1" ht="16.5"/>
    <row r="291" s="242" customFormat="1" ht="16.5"/>
    <row r="292" s="242" customFormat="1" ht="16.5"/>
    <row r="293" s="242" customFormat="1" ht="16.5"/>
    <row r="294" s="242" customFormat="1" ht="16.5"/>
    <row r="295" s="242" customFormat="1" ht="16.5"/>
    <row r="296" s="242" customFormat="1" ht="16.5"/>
    <row r="297" s="242" customFormat="1" ht="16.5"/>
    <row r="298" s="242" customFormat="1" ht="16.5"/>
    <row r="299" s="242" customFormat="1" ht="16.5"/>
    <row r="300" s="242" customFormat="1" ht="16.5"/>
    <row r="301" s="242" customFormat="1" ht="16.5"/>
    <row r="302" s="242" customFormat="1" ht="16.5"/>
    <row r="303" s="242" customFormat="1" ht="16.5"/>
    <row r="304" s="242" customFormat="1" ht="16.5"/>
    <row r="305" s="242" customFormat="1" ht="16.5"/>
    <row r="306" s="242" customFormat="1" ht="16.5"/>
    <row r="307" s="242" customFormat="1" ht="16.5"/>
    <row r="308" s="242" customFormat="1" ht="16.5"/>
    <row r="309" s="242" customFormat="1" ht="16.5"/>
    <row r="310" s="242" customFormat="1" ht="16.5"/>
    <row r="311" s="242" customFormat="1" ht="16.5"/>
    <row r="312" s="242" customFormat="1" ht="16.5"/>
    <row r="313" s="242" customFormat="1" ht="16.5"/>
    <row r="314" s="242" customFormat="1" ht="16.5"/>
    <row r="315" s="242" customFormat="1" ht="16.5"/>
    <row r="316" s="242" customFormat="1" ht="16.5"/>
    <row r="317" s="242" customFormat="1" ht="16.5"/>
    <row r="318" s="242" customFormat="1" ht="16.5"/>
    <row r="319" s="242" customFormat="1" ht="16.5"/>
    <row r="320" s="242" customFormat="1" ht="16.5"/>
    <row r="321" s="242" customFormat="1" ht="16.5"/>
    <row r="322" s="242" customFormat="1" ht="16.5"/>
    <row r="323" s="242" customFormat="1" ht="16.5"/>
    <row r="324" s="242" customFormat="1" ht="16.5"/>
    <row r="325" s="242" customFormat="1" ht="16.5"/>
    <row r="326" s="242" customFormat="1" ht="16.5"/>
    <row r="327" s="242" customFormat="1" ht="16.5"/>
    <row r="328" s="242" customFormat="1" ht="16.5"/>
    <row r="329" s="242" customFormat="1" ht="16.5"/>
    <row r="330" s="242" customFormat="1" ht="16.5"/>
    <row r="331" s="242" customFormat="1" ht="16.5"/>
    <row r="332" s="242" customFormat="1" ht="16.5"/>
    <row r="333" s="242" customFormat="1" ht="16.5"/>
    <row r="334" s="242" customFormat="1" ht="16.5"/>
    <row r="335" s="242" customFormat="1" ht="16.5"/>
    <row r="336" s="242" customFormat="1" ht="16.5"/>
    <row r="337" s="28" customFormat="1"/>
    <row r="338" s="28" customFormat="1"/>
    <row r="339" s="28" customFormat="1"/>
    <row r="340" s="28" customFormat="1"/>
    <row r="341" s="28" customFormat="1"/>
    <row r="342" s="28" customFormat="1"/>
    <row r="343" s="28" customFormat="1"/>
    <row r="344" s="28" customFormat="1"/>
    <row r="345" s="28" customFormat="1"/>
    <row r="346" s="28" customFormat="1"/>
    <row r="347" s="28" customFormat="1"/>
    <row r="348" s="28" customFormat="1"/>
    <row r="349" s="28" customFormat="1"/>
    <row r="350" s="28" customFormat="1"/>
    <row r="351" s="28" customFormat="1"/>
    <row r="352" s="28" customFormat="1"/>
    <row r="353" s="28" customFormat="1"/>
    <row r="354" s="28" customFormat="1"/>
    <row r="355" s="28" customFormat="1"/>
    <row r="356" s="28" customFormat="1"/>
    <row r="357" s="28" customFormat="1"/>
  </sheetData>
  <mergeCells count="60">
    <mergeCell ref="H65:O65"/>
    <mergeCell ref="C18:D18"/>
    <mergeCell ref="C19:D19"/>
    <mergeCell ref="C23:D23"/>
    <mergeCell ref="C24:D24"/>
    <mergeCell ref="C25:D25"/>
    <mergeCell ref="C22:D22"/>
    <mergeCell ref="C65:D65"/>
    <mergeCell ref="C27:D27"/>
    <mergeCell ref="C26:D26"/>
    <mergeCell ref="C63:D63"/>
    <mergeCell ref="C28:D28"/>
    <mergeCell ref="C29:D29"/>
    <mergeCell ref="C30:D30"/>
    <mergeCell ref="C31:D31"/>
    <mergeCell ref="C32:D32"/>
    <mergeCell ref="C17:D17"/>
    <mergeCell ref="I17:K17"/>
    <mergeCell ref="S14:S15"/>
    <mergeCell ref="C16:G16"/>
    <mergeCell ref="C1:S1"/>
    <mergeCell ref="C2:S2"/>
    <mergeCell ref="C3:S3"/>
    <mergeCell ref="L5:S5"/>
    <mergeCell ref="L7:S7"/>
    <mergeCell ref="C14:G15"/>
    <mergeCell ref="H14:O15"/>
    <mergeCell ref="P14:P15"/>
    <mergeCell ref="Q14:Q15"/>
    <mergeCell ref="C33:D33"/>
    <mergeCell ref="C34:D34"/>
    <mergeCell ref="C35:D35"/>
    <mergeCell ref="C36:D36"/>
    <mergeCell ref="C37:D37"/>
    <mergeCell ref="C56:D56"/>
    <mergeCell ref="C38:D38"/>
    <mergeCell ref="C39:D39"/>
    <mergeCell ref="C40:D40"/>
    <mergeCell ref="C57:D57"/>
    <mergeCell ref="C41:D41"/>
    <mergeCell ref="C42:D42"/>
    <mergeCell ref="C43:D43"/>
    <mergeCell ref="C44:D44"/>
    <mergeCell ref="C45:D45"/>
    <mergeCell ref="C64:D64"/>
    <mergeCell ref="C61:D61"/>
    <mergeCell ref="C62:D62"/>
    <mergeCell ref="C46:D46"/>
    <mergeCell ref="C47:D47"/>
    <mergeCell ref="C60:D60"/>
    <mergeCell ref="C48:D48"/>
    <mergeCell ref="C49:D49"/>
    <mergeCell ref="C50:D50"/>
    <mergeCell ref="C58:D58"/>
    <mergeCell ref="C59:D59"/>
    <mergeCell ref="C51:D51"/>
    <mergeCell ref="C52:D52"/>
    <mergeCell ref="C53:D53"/>
    <mergeCell ref="C54:D54"/>
    <mergeCell ref="C55:D55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V378"/>
  <sheetViews>
    <sheetView topLeftCell="C2" zoomScaleSheetLayoutView="100" workbookViewId="0">
      <selection activeCell="R22" sqref="R22"/>
    </sheetView>
  </sheetViews>
  <sheetFormatPr defaultRowHeight="15"/>
  <cols>
    <col min="1" max="2" width="0" hidden="1" customWidth="1"/>
    <col min="3" max="3" width="2" customWidth="1"/>
    <col min="4" max="4" width="0.7109375" customWidth="1"/>
    <col min="5" max="5" width="2.42578125" customWidth="1"/>
    <col min="6" max="6" width="2.85546875" customWidth="1"/>
    <col min="7" max="7" width="2.42578125" customWidth="1"/>
    <col min="8" max="8" width="2" customWidth="1"/>
    <col min="9" max="9" width="18.85546875" customWidth="1"/>
    <col min="10" max="10" width="1.5703125" hidden="1" customWidth="1"/>
    <col min="11" max="11" width="2.42578125" customWidth="1"/>
    <col min="12" max="15" width="5" customWidth="1"/>
    <col min="16" max="16" width="7.42578125" customWidth="1"/>
    <col min="17" max="17" width="7.28515625" customWidth="1"/>
    <col min="18" max="18" width="15" customWidth="1"/>
    <col min="19" max="19" width="16.28515625" customWidth="1"/>
    <col min="21" max="21" width="12.85546875" bestFit="1" customWidth="1"/>
    <col min="22" max="22" width="11.28515625" bestFit="1" customWidth="1"/>
  </cols>
  <sheetData>
    <row r="1" spans="3:19" s="247" customFormat="1" ht="18">
      <c r="C1" s="853" t="s">
        <v>6</v>
      </c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5"/>
    </row>
    <row r="2" spans="3:19" s="247" customFormat="1" ht="18">
      <c r="C2" s="869" t="s">
        <v>186</v>
      </c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0"/>
      <c r="R2" s="870"/>
      <c r="S2" s="871"/>
    </row>
    <row r="3" spans="3:19" s="249" customFormat="1" ht="15.75">
      <c r="C3" s="859" t="s">
        <v>211</v>
      </c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1"/>
    </row>
    <row r="4" spans="3:19" s="249" customFormat="1" ht="15.75">
      <c r="C4" s="471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3"/>
    </row>
    <row r="5" spans="3:19" s="243" customFormat="1" ht="12.75">
      <c r="C5" s="370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8"/>
    </row>
    <row r="6" spans="3:19" s="242" customFormat="1" ht="16.5">
      <c r="C6" s="283" t="s">
        <v>7</v>
      </c>
      <c r="D6" s="295" t="s">
        <v>10</v>
      </c>
      <c r="E6" s="295"/>
      <c r="F6" s="295"/>
      <c r="G6" s="295"/>
      <c r="H6" s="295"/>
      <c r="I6" s="286"/>
      <c r="J6" s="286" t="s">
        <v>12</v>
      </c>
      <c r="K6" s="286" t="s">
        <v>12</v>
      </c>
      <c r="L6" s="851" t="s">
        <v>56</v>
      </c>
      <c r="M6" s="851"/>
      <c r="N6" s="851"/>
      <c r="O6" s="851"/>
      <c r="P6" s="851"/>
      <c r="Q6" s="851"/>
      <c r="R6" s="851"/>
      <c r="S6" s="852"/>
    </row>
    <row r="7" spans="3:19" s="242" customFormat="1" ht="16.5">
      <c r="C7" s="283" t="s">
        <v>8</v>
      </c>
      <c r="D7" s="295" t="s">
        <v>11</v>
      </c>
      <c r="E7" s="295"/>
      <c r="F7" s="295"/>
      <c r="G7" s="295"/>
      <c r="H7" s="295"/>
      <c r="I7" s="286"/>
      <c r="J7" s="286" t="s">
        <v>12</v>
      </c>
      <c r="K7" s="286" t="s">
        <v>12</v>
      </c>
      <c r="L7" s="295" t="s">
        <v>389</v>
      </c>
      <c r="M7" s="295"/>
      <c r="N7" s="295"/>
      <c r="O7" s="295"/>
      <c r="P7" s="295"/>
      <c r="Q7" s="295"/>
      <c r="R7" s="295"/>
      <c r="S7" s="296"/>
    </row>
    <row r="8" spans="3:19" s="242" customFormat="1" ht="16.5">
      <c r="C8" s="283" t="s">
        <v>9</v>
      </c>
      <c r="D8" s="295" t="s">
        <v>22</v>
      </c>
      <c r="E8" s="295"/>
      <c r="F8" s="295"/>
      <c r="G8" s="295"/>
      <c r="H8" s="295"/>
      <c r="I8" s="286"/>
      <c r="J8" s="286" t="s">
        <v>12</v>
      </c>
      <c r="K8" s="286" t="s">
        <v>12</v>
      </c>
      <c r="L8" s="851" t="s">
        <v>76</v>
      </c>
      <c r="M8" s="851"/>
      <c r="N8" s="851"/>
      <c r="O8" s="851"/>
      <c r="P8" s="851"/>
      <c r="Q8" s="851"/>
      <c r="R8" s="851"/>
      <c r="S8" s="852"/>
    </row>
    <row r="9" spans="3:19" s="242" customFormat="1" ht="16.5">
      <c r="C9" s="297" t="s">
        <v>219</v>
      </c>
      <c r="D9" s="295" t="s">
        <v>216</v>
      </c>
      <c r="E9" s="295"/>
      <c r="F9" s="295"/>
      <c r="G9" s="295"/>
      <c r="H9" s="295"/>
      <c r="I9" s="286"/>
      <c r="J9" s="286"/>
      <c r="K9" s="286" t="s">
        <v>12</v>
      </c>
      <c r="L9" s="469" t="s">
        <v>139</v>
      </c>
      <c r="M9" s="469"/>
      <c r="N9" s="469"/>
      <c r="O9" s="469"/>
      <c r="P9" s="469"/>
      <c r="Q9" s="469"/>
      <c r="R9" s="469"/>
      <c r="S9" s="470"/>
    </row>
    <row r="10" spans="3:19" s="242" customFormat="1" ht="16.5">
      <c r="C10" s="297" t="s">
        <v>228</v>
      </c>
      <c r="D10" s="295" t="s">
        <v>229</v>
      </c>
      <c r="E10" s="295"/>
      <c r="F10" s="295"/>
      <c r="G10" s="295"/>
      <c r="H10" s="295"/>
      <c r="I10" s="286"/>
      <c r="J10" s="286"/>
      <c r="K10" s="286" t="s">
        <v>12</v>
      </c>
      <c r="L10" s="469" t="s">
        <v>320</v>
      </c>
      <c r="M10" s="469"/>
      <c r="N10" s="469"/>
      <c r="O10" s="469"/>
      <c r="P10" s="469"/>
      <c r="Q10" s="469"/>
      <c r="R10" s="469"/>
      <c r="S10" s="470"/>
    </row>
    <row r="11" spans="3:19" s="242" customFormat="1" ht="16.5">
      <c r="C11" s="297" t="s">
        <v>230</v>
      </c>
      <c r="D11" s="295" t="s">
        <v>210</v>
      </c>
      <c r="E11" s="295"/>
      <c r="F11" s="295"/>
      <c r="G11" s="295"/>
      <c r="H11" s="295"/>
      <c r="I11" s="286"/>
      <c r="J11" s="286"/>
      <c r="K11" s="286" t="s">
        <v>12</v>
      </c>
      <c r="L11" s="469"/>
      <c r="M11" s="469"/>
      <c r="N11" s="469"/>
      <c r="O11" s="469"/>
      <c r="P11" s="469"/>
      <c r="Q11" s="469"/>
      <c r="R11" s="469"/>
      <c r="S11" s="470"/>
    </row>
    <row r="12" spans="3:19" s="242" customFormat="1" ht="7.5" customHeight="1">
      <c r="C12" s="297"/>
      <c r="D12" s="295"/>
      <c r="E12" s="295"/>
      <c r="F12" s="295"/>
      <c r="G12" s="295"/>
      <c r="H12" s="295"/>
      <c r="I12" s="286"/>
      <c r="J12" s="286"/>
      <c r="K12" s="286"/>
      <c r="L12" s="469"/>
      <c r="M12" s="469"/>
      <c r="N12" s="469"/>
      <c r="O12" s="469"/>
      <c r="P12" s="469"/>
      <c r="Q12" s="469"/>
      <c r="R12" s="469"/>
      <c r="S12" s="470"/>
    </row>
    <row r="13" spans="3:19" s="243" customFormat="1" ht="12.75">
      <c r="C13" s="394" t="s">
        <v>221</v>
      </c>
      <c r="D13" s="430"/>
      <c r="E13" s="430"/>
      <c r="F13" s="430"/>
      <c r="G13" s="430"/>
      <c r="H13" s="430"/>
      <c r="I13" s="382"/>
      <c r="J13" s="382"/>
      <c r="K13" s="382"/>
      <c r="L13" s="397"/>
      <c r="M13" s="397"/>
      <c r="N13" s="397"/>
      <c r="O13" s="397"/>
      <c r="P13" s="397"/>
      <c r="Q13" s="397"/>
      <c r="R13" s="397"/>
      <c r="S13" s="398"/>
    </row>
    <row r="14" spans="3:19" s="242" customFormat="1" ht="4.5" customHeight="1">
      <c r="C14" s="283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5"/>
    </row>
    <row r="15" spans="3:19" s="243" customFormat="1" ht="12.75">
      <c r="C15" s="775" t="s">
        <v>0</v>
      </c>
      <c r="D15" s="776"/>
      <c r="E15" s="776"/>
      <c r="F15" s="776"/>
      <c r="G15" s="777"/>
      <c r="H15" s="775" t="s">
        <v>1</v>
      </c>
      <c r="I15" s="776"/>
      <c r="J15" s="776"/>
      <c r="K15" s="776"/>
      <c r="L15" s="776"/>
      <c r="M15" s="776"/>
      <c r="N15" s="776"/>
      <c r="O15" s="777"/>
      <c r="P15" s="780" t="s">
        <v>2</v>
      </c>
      <c r="Q15" s="780" t="s">
        <v>47</v>
      </c>
      <c r="R15" s="479" t="s">
        <v>4</v>
      </c>
      <c r="S15" s="780" t="s">
        <v>3</v>
      </c>
    </row>
    <row r="16" spans="3:19" s="243" customFormat="1" ht="12.75">
      <c r="C16" s="863"/>
      <c r="D16" s="778"/>
      <c r="E16" s="778"/>
      <c r="F16" s="778"/>
      <c r="G16" s="779"/>
      <c r="H16" s="863"/>
      <c r="I16" s="778"/>
      <c r="J16" s="778"/>
      <c r="K16" s="778"/>
      <c r="L16" s="778"/>
      <c r="M16" s="778"/>
      <c r="N16" s="778"/>
      <c r="O16" s="779"/>
      <c r="P16" s="781"/>
      <c r="Q16" s="781"/>
      <c r="R16" s="480" t="s">
        <v>5</v>
      </c>
      <c r="S16" s="781"/>
    </row>
    <row r="17" spans="1:21" s="237" customFormat="1" ht="13.5">
      <c r="C17" s="864">
        <v>1</v>
      </c>
      <c r="D17" s="865"/>
      <c r="E17" s="865"/>
      <c r="F17" s="865"/>
      <c r="G17" s="866"/>
      <c r="H17" s="476"/>
      <c r="I17" s="477">
        <v>2</v>
      </c>
      <c r="J17" s="477"/>
      <c r="K17" s="477"/>
      <c r="L17" s="477"/>
      <c r="M17" s="477"/>
      <c r="N17" s="477"/>
      <c r="O17" s="478"/>
      <c r="P17" s="239">
        <v>3</v>
      </c>
      <c r="Q17" s="239"/>
      <c r="R17" s="239">
        <v>4</v>
      </c>
      <c r="S17" s="239">
        <v>5</v>
      </c>
    </row>
    <row r="18" spans="1:21" s="242" customFormat="1" ht="18" customHeight="1">
      <c r="A18" s="383"/>
      <c r="B18" s="383"/>
      <c r="C18" s="876">
        <v>2</v>
      </c>
      <c r="D18" s="876"/>
      <c r="E18" s="492">
        <v>2</v>
      </c>
      <c r="F18" s="492">
        <v>16</v>
      </c>
      <c r="G18" s="492">
        <v>2</v>
      </c>
      <c r="H18" s="432" t="s">
        <v>14</v>
      </c>
      <c r="I18" s="862" t="s">
        <v>48</v>
      </c>
      <c r="J18" s="862"/>
      <c r="K18" s="862"/>
      <c r="L18" s="379"/>
      <c r="M18" s="379"/>
      <c r="N18" s="379"/>
      <c r="O18" s="433"/>
      <c r="P18" s="256"/>
      <c r="Q18" s="256"/>
      <c r="R18" s="256"/>
      <c r="S18" s="308">
        <f>SUM(S19)+S24</f>
        <v>37540000</v>
      </c>
    </row>
    <row r="19" spans="1:21" s="242" customFormat="1" ht="12.75" customHeight="1">
      <c r="C19" s="875"/>
      <c r="D19" s="875"/>
      <c r="E19" s="491"/>
      <c r="F19" s="491"/>
      <c r="G19" s="491"/>
      <c r="H19" s="447" t="s">
        <v>14</v>
      </c>
      <c r="I19" s="260" t="s">
        <v>416</v>
      </c>
      <c r="J19" s="260"/>
      <c r="K19" s="265"/>
      <c r="L19" s="265"/>
      <c r="M19" s="265"/>
      <c r="N19" s="265"/>
      <c r="O19" s="490"/>
      <c r="P19" s="491"/>
      <c r="Q19" s="491"/>
      <c r="R19" s="267"/>
      <c r="S19" s="320">
        <f>SUM(S20:S22)</f>
        <v>32815000</v>
      </c>
      <c r="U19" s="311"/>
    </row>
    <row r="20" spans="1:21" s="242" customFormat="1" ht="12.75" customHeight="1">
      <c r="C20" s="875"/>
      <c r="D20" s="875"/>
      <c r="E20" s="491"/>
      <c r="F20" s="491"/>
      <c r="G20" s="491"/>
      <c r="H20" s="489"/>
      <c r="I20" s="321" t="s">
        <v>280</v>
      </c>
      <c r="J20" s="260"/>
      <c r="K20" s="265"/>
      <c r="L20" s="265"/>
      <c r="M20" s="265"/>
      <c r="N20" s="265"/>
      <c r="O20" s="490"/>
      <c r="P20" s="524">
        <v>318</v>
      </c>
      <c r="Q20" s="491" t="s">
        <v>282</v>
      </c>
      <c r="R20" s="267">
        <v>55000</v>
      </c>
      <c r="S20" s="267">
        <f>P20*R20</f>
        <v>17490000</v>
      </c>
      <c r="U20" s="311"/>
    </row>
    <row r="21" spans="1:21" s="242" customFormat="1" ht="12.75" customHeight="1">
      <c r="C21" s="489"/>
      <c r="D21" s="490"/>
      <c r="E21" s="491"/>
      <c r="F21" s="491"/>
      <c r="G21" s="491"/>
      <c r="H21" s="489"/>
      <c r="I21" s="321" t="s">
        <v>281</v>
      </c>
      <c r="J21" s="260"/>
      <c r="K21" s="265"/>
      <c r="L21" s="265"/>
      <c r="M21" s="265"/>
      <c r="N21" s="265"/>
      <c r="O21" s="490"/>
      <c r="P21" s="524">
        <v>190</v>
      </c>
      <c r="Q21" s="491" t="s">
        <v>282</v>
      </c>
      <c r="R21" s="267">
        <v>65000</v>
      </c>
      <c r="S21" s="267">
        <f t="shared" ref="S21:S22" si="0">P21*R21</f>
        <v>12350000</v>
      </c>
      <c r="U21" s="311"/>
    </row>
    <row r="22" spans="1:21" s="242" customFormat="1" ht="12.75" customHeight="1">
      <c r="C22" s="489"/>
      <c r="D22" s="490"/>
      <c r="E22" s="491"/>
      <c r="F22" s="491"/>
      <c r="G22" s="491"/>
      <c r="H22" s="489"/>
      <c r="I22" s="321" t="s">
        <v>325</v>
      </c>
      <c r="J22" s="260"/>
      <c r="K22" s="265"/>
      <c r="L22" s="265"/>
      <c r="M22" s="265"/>
      <c r="N22" s="265"/>
      <c r="O22" s="490"/>
      <c r="P22" s="524">
        <v>35</v>
      </c>
      <c r="Q22" s="491" t="s">
        <v>282</v>
      </c>
      <c r="R22" s="267">
        <v>85000</v>
      </c>
      <c r="S22" s="267">
        <f t="shared" si="0"/>
        <v>2975000</v>
      </c>
      <c r="U22" s="311"/>
    </row>
    <row r="23" spans="1:21" s="242" customFormat="1" ht="7.5" customHeight="1">
      <c r="C23" s="891"/>
      <c r="D23" s="891"/>
      <c r="E23" s="408"/>
      <c r="F23" s="408"/>
      <c r="G23" s="408"/>
      <c r="H23" s="493"/>
      <c r="I23" s="309"/>
      <c r="J23" s="309"/>
      <c r="K23" s="415"/>
      <c r="L23" s="415"/>
      <c r="M23" s="415"/>
      <c r="N23" s="415"/>
      <c r="O23" s="494"/>
      <c r="P23" s="408"/>
      <c r="Q23" s="408"/>
      <c r="R23" s="417"/>
      <c r="S23" s="417"/>
    </row>
    <row r="24" spans="1:21" s="242" customFormat="1" ht="15" customHeight="1">
      <c r="C24" s="493"/>
      <c r="D24" s="494"/>
      <c r="E24" s="408"/>
      <c r="F24" s="408"/>
      <c r="G24" s="408"/>
      <c r="H24" s="447" t="s">
        <v>14</v>
      </c>
      <c r="I24" s="260" t="s">
        <v>417</v>
      </c>
      <c r="J24" s="260"/>
      <c r="K24" s="265"/>
      <c r="L24" s="265"/>
      <c r="M24" s="265"/>
      <c r="N24" s="265"/>
      <c r="O24" s="490"/>
      <c r="P24" s="491"/>
      <c r="Q24" s="491"/>
      <c r="R24" s="267"/>
      <c r="S24" s="320">
        <f>SUM(S25:S27)</f>
        <v>4725000</v>
      </c>
    </row>
    <row r="25" spans="1:21" s="242" customFormat="1" ht="15" customHeight="1">
      <c r="C25" s="493"/>
      <c r="D25" s="494"/>
      <c r="E25" s="408"/>
      <c r="F25" s="408"/>
      <c r="G25" s="408"/>
      <c r="H25" s="489"/>
      <c r="I25" s="321" t="s">
        <v>280</v>
      </c>
      <c r="J25" s="260"/>
      <c r="K25" s="265"/>
      <c r="L25" s="265"/>
      <c r="M25" s="265"/>
      <c r="N25" s="265"/>
      <c r="O25" s="490"/>
      <c r="P25" s="524">
        <v>45</v>
      </c>
      <c r="Q25" s="491" t="s">
        <v>282</v>
      </c>
      <c r="R25" s="267">
        <v>55000</v>
      </c>
      <c r="S25" s="267">
        <f>P25*R25</f>
        <v>2475000</v>
      </c>
      <c r="U25" s="271">
        <v>1275000</v>
      </c>
    </row>
    <row r="26" spans="1:21" s="242" customFormat="1" ht="15" customHeight="1">
      <c r="C26" s="493"/>
      <c r="D26" s="494"/>
      <c r="E26" s="408"/>
      <c r="F26" s="408"/>
      <c r="G26" s="408"/>
      <c r="H26" s="489"/>
      <c r="I26" s="321" t="s">
        <v>281</v>
      </c>
      <c r="J26" s="260"/>
      <c r="K26" s="265"/>
      <c r="L26" s="265"/>
      <c r="M26" s="265"/>
      <c r="N26" s="265"/>
      <c r="O26" s="490"/>
      <c r="P26" s="524">
        <v>15</v>
      </c>
      <c r="Q26" s="491" t="s">
        <v>282</v>
      </c>
      <c r="R26" s="267">
        <v>65000</v>
      </c>
      <c r="S26" s="267">
        <f t="shared" ref="S26:S27" si="1">P26*R26</f>
        <v>975000</v>
      </c>
      <c r="U26" s="282">
        <f>U25/85000</f>
        <v>15</v>
      </c>
    </row>
    <row r="27" spans="1:21" s="242" customFormat="1" ht="15" customHeight="1">
      <c r="C27" s="493"/>
      <c r="D27" s="494"/>
      <c r="E27" s="408"/>
      <c r="F27" s="408"/>
      <c r="G27" s="408"/>
      <c r="H27" s="489"/>
      <c r="I27" s="321" t="s">
        <v>325</v>
      </c>
      <c r="J27" s="260"/>
      <c r="K27" s="265"/>
      <c r="L27" s="265"/>
      <c r="M27" s="265"/>
      <c r="N27" s="265"/>
      <c r="O27" s="490"/>
      <c r="P27" s="524">
        <v>15</v>
      </c>
      <c r="Q27" s="491" t="s">
        <v>282</v>
      </c>
      <c r="R27" s="267">
        <v>85000</v>
      </c>
      <c r="S27" s="267">
        <f t="shared" si="1"/>
        <v>1275000</v>
      </c>
    </row>
    <row r="28" spans="1:21" s="242" customFormat="1" ht="15" customHeight="1">
      <c r="C28" s="875">
        <v>2</v>
      </c>
      <c r="D28" s="875"/>
      <c r="E28" s="491">
        <v>2</v>
      </c>
      <c r="F28" s="491">
        <v>16</v>
      </c>
      <c r="G28" s="491">
        <v>3</v>
      </c>
      <c r="H28" s="447" t="s">
        <v>14</v>
      </c>
      <c r="I28" s="310" t="s">
        <v>60</v>
      </c>
      <c r="J28" s="260"/>
      <c r="K28" s="265"/>
      <c r="L28" s="265"/>
      <c r="M28" s="265"/>
      <c r="N28" s="265"/>
      <c r="O28" s="490"/>
      <c r="P28" s="491"/>
      <c r="Q28" s="491"/>
      <c r="R28" s="267"/>
      <c r="S28" s="320">
        <f>SUM(S29+S84)</f>
        <v>80927200</v>
      </c>
      <c r="U28" s="311"/>
    </row>
    <row r="29" spans="1:21" s="242" customFormat="1" ht="15" customHeight="1">
      <c r="C29" s="489"/>
      <c r="D29" s="490"/>
      <c r="E29" s="491"/>
      <c r="F29" s="491"/>
      <c r="G29" s="491"/>
      <c r="H29" s="447" t="s">
        <v>14</v>
      </c>
      <c r="I29" s="323" t="s">
        <v>415</v>
      </c>
      <c r="J29" s="260"/>
      <c r="K29" s="265"/>
      <c r="L29" s="265"/>
      <c r="M29" s="265"/>
      <c r="N29" s="265"/>
      <c r="O29" s="490"/>
      <c r="P29" s="491"/>
      <c r="Q29" s="491"/>
      <c r="R29" s="267"/>
      <c r="S29" s="320">
        <f>SUM(S30:S82)</f>
        <v>64632700</v>
      </c>
      <c r="U29" s="311"/>
    </row>
    <row r="30" spans="1:21" s="242" customFormat="1" ht="12.75" customHeight="1">
      <c r="C30" s="489"/>
      <c r="D30" s="490"/>
      <c r="E30" s="491"/>
      <c r="F30" s="491"/>
      <c r="G30" s="491"/>
      <c r="H30" s="489"/>
      <c r="I30" s="260" t="s">
        <v>326</v>
      </c>
      <c r="J30" s="260"/>
      <c r="K30" s="260"/>
      <c r="L30" s="260"/>
      <c r="M30" s="260"/>
      <c r="N30" s="260"/>
      <c r="O30" s="262"/>
      <c r="P30" s="524">
        <v>26</v>
      </c>
      <c r="Q30" s="491" t="s">
        <v>182</v>
      </c>
      <c r="R30" s="267">
        <v>225000</v>
      </c>
      <c r="S30" s="267">
        <f>P30*R30</f>
        <v>5850000</v>
      </c>
      <c r="U30" s="311"/>
    </row>
    <row r="31" spans="1:21" s="242" customFormat="1" ht="12.75" customHeight="1">
      <c r="C31" s="489"/>
      <c r="D31" s="490"/>
      <c r="E31" s="491"/>
      <c r="F31" s="491"/>
      <c r="G31" s="491"/>
      <c r="H31" s="489"/>
      <c r="I31" s="260" t="s">
        <v>327</v>
      </c>
      <c r="J31" s="260"/>
      <c r="K31" s="260"/>
      <c r="L31" s="260"/>
      <c r="M31" s="260"/>
      <c r="N31" s="260"/>
      <c r="O31" s="262"/>
      <c r="P31" s="524">
        <v>18.27</v>
      </c>
      <c r="Q31" s="491" t="s">
        <v>182</v>
      </c>
      <c r="R31" s="267">
        <v>225000</v>
      </c>
      <c r="S31" s="267">
        <f t="shared" ref="S31:S82" si="2">P31*R31</f>
        <v>4110750</v>
      </c>
      <c r="U31" s="311"/>
    </row>
    <row r="32" spans="1:21" s="242" customFormat="1" ht="12.75" customHeight="1">
      <c r="C32" s="489"/>
      <c r="D32" s="490"/>
      <c r="E32" s="491"/>
      <c r="F32" s="491"/>
      <c r="G32" s="491"/>
      <c r="H32" s="489"/>
      <c r="I32" s="260" t="s">
        <v>62</v>
      </c>
      <c r="J32" s="260"/>
      <c r="K32" s="260"/>
      <c r="L32" s="260"/>
      <c r="M32" s="260"/>
      <c r="N32" s="260"/>
      <c r="O32" s="262"/>
      <c r="P32" s="524">
        <v>165</v>
      </c>
      <c r="Q32" s="491" t="s">
        <v>63</v>
      </c>
      <c r="R32" s="267">
        <v>65000</v>
      </c>
      <c r="S32" s="267">
        <f t="shared" si="2"/>
        <v>10725000</v>
      </c>
      <c r="U32" s="311"/>
    </row>
    <row r="33" spans="3:21" s="242" customFormat="1" ht="12.75" customHeight="1">
      <c r="C33" s="489"/>
      <c r="D33" s="490"/>
      <c r="E33" s="491"/>
      <c r="F33" s="491"/>
      <c r="G33" s="491"/>
      <c r="H33" s="489"/>
      <c r="I33" s="260" t="s">
        <v>328</v>
      </c>
      <c r="J33" s="260"/>
      <c r="K33" s="260"/>
      <c r="L33" s="260"/>
      <c r="M33" s="260"/>
      <c r="N33" s="260"/>
      <c r="O33" s="262"/>
      <c r="P33" s="524">
        <v>10</v>
      </c>
      <c r="Q33" s="491" t="s">
        <v>182</v>
      </c>
      <c r="R33" s="267">
        <v>85000</v>
      </c>
      <c r="S33" s="267">
        <f t="shared" si="2"/>
        <v>850000</v>
      </c>
      <c r="U33" s="311"/>
    </row>
    <row r="34" spans="3:21" s="242" customFormat="1" ht="12.75" customHeight="1">
      <c r="C34" s="489"/>
      <c r="D34" s="490"/>
      <c r="E34" s="491"/>
      <c r="F34" s="491"/>
      <c r="G34" s="491"/>
      <c r="H34" s="489"/>
      <c r="I34" s="260" t="s">
        <v>329</v>
      </c>
      <c r="J34" s="260"/>
      <c r="K34" s="260"/>
      <c r="L34" s="260"/>
      <c r="M34" s="260"/>
      <c r="N34" s="260"/>
      <c r="O34" s="262"/>
      <c r="P34" s="317">
        <v>8826</v>
      </c>
      <c r="Q34" s="491" t="s">
        <v>365</v>
      </c>
      <c r="R34" s="267">
        <v>750</v>
      </c>
      <c r="S34" s="267">
        <f t="shared" si="2"/>
        <v>6619500</v>
      </c>
      <c r="U34" s="311"/>
    </row>
    <row r="35" spans="3:21" s="242" customFormat="1" ht="12.75" customHeight="1">
      <c r="C35" s="489"/>
      <c r="D35" s="490"/>
      <c r="E35" s="491"/>
      <c r="F35" s="491"/>
      <c r="G35" s="491"/>
      <c r="H35" s="489"/>
      <c r="I35" s="260" t="s">
        <v>330</v>
      </c>
      <c r="J35" s="260"/>
      <c r="K35" s="260"/>
      <c r="L35" s="260"/>
      <c r="M35" s="260"/>
      <c r="N35" s="260"/>
      <c r="O35" s="262"/>
      <c r="P35" s="524">
        <v>8.6999999999999993</v>
      </c>
      <c r="Q35" s="491" t="s">
        <v>182</v>
      </c>
      <c r="R35" s="267">
        <v>250000</v>
      </c>
      <c r="S35" s="267">
        <f t="shared" si="2"/>
        <v>2175000</v>
      </c>
      <c r="U35" s="311"/>
    </row>
    <row r="36" spans="3:21" s="242" customFormat="1" ht="12.75" customHeight="1">
      <c r="C36" s="489"/>
      <c r="D36" s="490"/>
      <c r="E36" s="491"/>
      <c r="F36" s="491"/>
      <c r="G36" s="491"/>
      <c r="H36" s="489"/>
      <c r="I36" s="260" t="s">
        <v>331</v>
      </c>
      <c r="J36" s="260"/>
      <c r="K36" s="260"/>
      <c r="L36" s="260"/>
      <c r="M36" s="260"/>
      <c r="N36" s="260"/>
      <c r="O36" s="262"/>
      <c r="P36" s="524">
        <v>0</v>
      </c>
      <c r="Q36" s="491" t="s">
        <v>366</v>
      </c>
      <c r="R36" s="267">
        <v>0</v>
      </c>
      <c r="S36" s="267">
        <f t="shared" si="2"/>
        <v>0</v>
      </c>
      <c r="U36" s="311"/>
    </row>
    <row r="37" spans="3:21" s="242" customFormat="1" ht="12.75" customHeight="1">
      <c r="C37" s="489"/>
      <c r="D37" s="490"/>
      <c r="E37" s="491"/>
      <c r="F37" s="491"/>
      <c r="G37" s="491"/>
      <c r="H37" s="489"/>
      <c r="I37" s="260" t="s">
        <v>332</v>
      </c>
      <c r="J37" s="260"/>
      <c r="K37" s="260"/>
      <c r="L37" s="260"/>
      <c r="M37" s="260"/>
      <c r="N37" s="260"/>
      <c r="O37" s="262"/>
      <c r="P37" s="524">
        <v>70</v>
      </c>
      <c r="Q37" s="491" t="s">
        <v>366</v>
      </c>
      <c r="R37" s="267">
        <v>70000</v>
      </c>
      <c r="S37" s="267">
        <f t="shared" si="2"/>
        <v>4900000</v>
      </c>
      <c r="U37" s="311"/>
    </row>
    <row r="38" spans="3:21" s="242" customFormat="1" ht="12.75" customHeight="1">
      <c r="C38" s="489"/>
      <c r="D38" s="490"/>
      <c r="E38" s="491"/>
      <c r="F38" s="491"/>
      <c r="G38" s="491"/>
      <c r="H38" s="489"/>
      <c r="I38" s="260" t="s">
        <v>333</v>
      </c>
      <c r="J38" s="260"/>
      <c r="K38" s="260"/>
      <c r="L38" s="260"/>
      <c r="M38" s="260"/>
      <c r="N38" s="260"/>
      <c r="O38" s="262"/>
      <c r="P38" s="524">
        <v>0.39</v>
      </c>
      <c r="Q38" s="491" t="s">
        <v>182</v>
      </c>
      <c r="R38" s="267">
        <v>4000000</v>
      </c>
      <c r="S38" s="267">
        <f t="shared" si="2"/>
        <v>1560000</v>
      </c>
      <c r="U38" s="311"/>
    </row>
    <row r="39" spans="3:21" s="242" customFormat="1" ht="12.75" customHeight="1">
      <c r="C39" s="489"/>
      <c r="D39" s="490"/>
      <c r="E39" s="491"/>
      <c r="F39" s="491"/>
      <c r="G39" s="491"/>
      <c r="H39" s="489"/>
      <c r="I39" s="260" t="s">
        <v>334</v>
      </c>
      <c r="J39" s="260"/>
      <c r="K39" s="260"/>
      <c r="L39" s="260"/>
      <c r="M39" s="260"/>
      <c r="N39" s="260"/>
      <c r="O39" s="262"/>
      <c r="P39" s="524">
        <v>0.21</v>
      </c>
      <c r="Q39" s="491" t="s">
        <v>182</v>
      </c>
      <c r="R39" s="267">
        <v>4000000</v>
      </c>
      <c r="S39" s="267">
        <f t="shared" si="2"/>
        <v>840000</v>
      </c>
      <c r="U39" s="311"/>
    </row>
    <row r="40" spans="3:21" s="242" customFormat="1" ht="12.75" customHeight="1">
      <c r="C40" s="489"/>
      <c r="D40" s="490"/>
      <c r="E40" s="491"/>
      <c r="F40" s="491"/>
      <c r="G40" s="491"/>
      <c r="H40" s="489"/>
      <c r="I40" s="260" t="s">
        <v>335</v>
      </c>
      <c r="J40" s="260"/>
      <c r="K40" s="260"/>
      <c r="L40" s="260"/>
      <c r="M40" s="260"/>
      <c r="N40" s="260"/>
      <c r="O40" s="262"/>
      <c r="P40" s="524">
        <v>0.92</v>
      </c>
      <c r="Q40" s="491" t="s">
        <v>367</v>
      </c>
      <c r="R40" s="267">
        <v>4000000</v>
      </c>
      <c r="S40" s="267">
        <f t="shared" si="2"/>
        <v>3680000</v>
      </c>
      <c r="U40" s="311"/>
    </row>
    <row r="41" spans="3:21" s="242" customFormat="1" ht="12.75" customHeight="1">
      <c r="C41" s="489"/>
      <c r="D41" s="490"/>
      <c r="E41" s="491"/>
      <c r="F41" s="491"/>
      <c r="G41" s="491"/>
      <c r="H41" s="489"/>
      <c r="I41" s="260" t="s">
        <v>336</v>
      </c>
      <c r="J41" s="260"/>
      <c r="K41" s="260"/>
      <c r="L41" s="260"/>
      <c r="M41" s="260"/>
      <c r="N41" s="260"/>
      <c r="O41" s="262"/>
      <c r="P41" s="524">
        <v>13</v>
      </c>
      <c r="Q41" s="491" t="s">
        <v>367</v>
      </c>
      <c r="R41" s="267">
        <v>25000</v>
      </c>
      <c r="S41" s="267">
        <f t="shared" si="2"/>
        <v>325000</v>
      </c>
      <c r="U41" s="311"/>
    </row>
    <row r="42" spans="3:21" s="242" customFormat="1" ht="12.75" customHeight="1">
      <c r="C42" s="489"/>
      <c r="D42" s="490"/>
      <c r="E42" s="491"/>
      <c r="F42" s="491"/>
      <c r="G42" s="491"/>
      <c r="H42" s="489"/>
      <c r="I42" s="260" t="s">
        <v>337</v>
      </c>
      <c r="J42" s="260"/>
      <c r="K42" s="260"/>
      <c r="L42" s="260"/>
      <c r="M42" s="260"/>
      <c r="N42" s="260"/>
      <c r="O42" s="262"/>
      <c r="P42" s="524">
        <v>102</v>
      </c>
      <c r="Q42" s="491" t="s">
        <v>297</v>
      </c>
      <c r="R42" s="267">
        <v>45500</v>
      </c>
      <c r="S42" s="267">
        <f t="shared" si="2"/>
        <v>4641000</v>
      </c>
      <c r="U42" s="311"/>
    </row>
    <row r="43" spans="3:21" s="242" customFormat="1" ht="12.75" customHeight="1">
      <c r="C43" s="489"/>
      <c r="D43" s="490"/>
      <c r="E43" s="491"/>
      <c r="F43" s="491"/>
      <c r="G43" s="491"/>
      <c r="H43" s="489"/>
      <c r="I43" s="260" t="s">
        <v>338</v>
      </c>
      <c r="J43" s="260"/>
      <c r="K43" s="260"/>
      <c r="L43" s="260"/>
      <c r="M43" s="260"/>
      <c r="N43" s="260"/>
      <c r="O43" s="262"/>
      <c r="P43" s="524">
        <v>14</v>
      </c>
      <c r="Q43" s="491" t="s">
        <v>369</v>
      </c>
      <c r="R43" s="267">
        <v>25000</v>
      </c>
      <c r="S43" s="267">
        <f t="shared" si="2"/>
        <v>350000</v>
      </c>
      <c r="U43" s="311"/>
    </row>
    <row r="44" spans="3:21" s="242" customFormat="1" ht="12.75" customHeight="1">
      <c r="C44" s="489"/>
      <c r="D44" s="490"/>
      <c r="E44" s="491"/>
      <c r="F44" s="491"/>
      <c r="G44" s="491"/>
      <c r="H44" s="489"/>
      <c r="I44" s="260" t="s">
        <v>339</v>
      </c>
      <c r="J44" s="260"/>
      <c r="K44" s="260"/>
      <c r="L44" s="260"/>
      <c r="M44" s="260"/>
      <c r="N44" s="260"/>
      <c r="O44" s="262"/>
      <c r="P44" s="524">
        <v>3.43</v>
      </c>
      <c r="Q44" s="491" t="s">
        <v>370</v>
      </c>
      <c r="R44" s="267">
        <v>25000</v>
      </c>
      <c r="S44" s="267">
        <f t="shared" si="2"/>
        <v>85750</v>
      </c>
      <c r="U44" s="311"/>
    </row>
    <row r="45" spans="3:21" s="242" customFormat="1" ht="12.75" customHeight="1">
      <c r="C45" s="489"/>
      <c r="D45" s="490"/>
      <c r="E45" s="491"/>
      <c r="F45" s="491"/>
      <c r="G45" s="491"/>
      <c r="H45" s="489"/>
      <c r="I45" s="260" t="s">
        <v>340</v>
      </c>
      <c r="J45" s="260"/>
      <c r="K45" s="260"/>
      <c r="L45" s="260"/>
      <c r="M45" s="260"/>
      <c r="N45" s="260"/>
      <c r="O45" s="262"/>
      <c r="P45" s="524">
        <v>4.1900000000000004</v>
      </c>
      <c r="Q45" s="491" t="s">
        <v>371</v>
      </c>
      <c r="R45" s="267">
        <v>90000</v>
      </c>
      <c r="S45" s="267">
        <f t="shared" si="2"/>
        <v>377100.00000000006</v>
      </c>
      <c r="U45" s="311"/>
    </row>
    <row r="46" spans="3:21" s="242" customFormat="1" ht="12.75" customHeight="1">
      <c r="C46" s="489"/>
      <c r="D46" s="490"/>
      <c r="E46" s="491"/>
      <c r="F46" s="491"/>
      <c r="G46" s="491"/>
      <c r="H46" s="489"/>
      <c r="I46" s="260" t="s">
        <v>341</v>
      </c>
      <c r="J46" s="260"/>
      <c r="K46" s="260"/>
      <c r="L46" s="260"/>
      <c r="M46" s="260"/>
      <c r="N46" s="260"/>
      <c r="O46" s="262"/>
      <c r="P46" s="524">
        <v>38</v>
      </c>
      <c r="Q46" s="491" t="s">
        <v>371</v>
      </c>
      <c r="R46" s="267">
        <v>65000</v>
      </c>
      <c r="S46" s="267">
        <f t="shared" si="2"/>
        <v>2470000</v>
      </c>
      <c r="U46" s="311"/>
    </row>
    <row r="47" spans="3:21" s="242" customFormat="1" ht="12.75" customHeight="1">
      <c r="C47" s="489"/>
      <c r="D47" s="490"/>
      <c r="E47" s="491"/>
      <c r="F47" s="491"/>
      <c r="G47" s="491"/>
      <c r="H47" s="489"/>
      <c r="I47" s="260" t="s">
        <v>342</v>
      </c>
      <c r="J47" s="260"/>
      <c r="K47" s="260"/>
      <c r="L47" s="260"/>
      <c r="M47" s="260"/>
      <c r="N47" s="260"/>
      <c r="O47" s="262"/>
      <c r="P47" s="524">
        <v>11</v>
      </c>
      <c r="Q47" s="491" t="s">
        <v>367</v>
      </c>
      <c r="R47" s="267">
        <v>22000</v>
      </c>
      <c r="S47" s="267">
        <f t="shared" si="2"/>
        <v>242000</v>
      </c>
      <c r="U47" s="311"/>
    </row>
    <row r="48" spans="3:21" s="242" customFormat="1" ht="12.75" customHeight="1">
      <c r="C48" s="489"/>
      <c r="D48" s="490"/>
      <c r="E48" s="491"/>
      <c r="F48" s="491"/>
      <c r="G48" s="491"/>
      <c r="H48" s="489"/>
      <c r="I48" s="260" t="s">
        <v>343</v>
      </c>
      <c r="J48" s="260"/>
      <c r="K48" s="260"/>
      <c r="L48" s="260"/>
      <c r="M48" s="260"/>
      <c r="N48" s="260"/>
      <c r="O48" s="262"/>
      <c r="P48" s="524">
        <v>10</v>
      </c>
      <c r="Q48" s="491" t="s">
        <v>367</v>
      </c>
      <c r="R48" s="267">
        <v>18000</v>
      </c>
      <c r="S48" s="267">
        <f t="shared" si="2"/>
        <v>180000</v>
      </c>
      <c r="U48" s="311"/>
    </row>
    <row r="49" spans="3:21" s="242" customFormat="1" ht="12.75" customHeight="1">
      <c r="C49" s="489"/>
      <c r="D49" s="490"/>
      <c r="E49" s="491"/>
      <c r="F49" s="491"/>
      <c r="G49" s="491"/>
      <c r="H49" s="489"/>
      <c r="I49" s="260" t="s">
        <v>344</v>
      </c>
      <c r="J49" s="260"/>
      <c r="K49" s="260"/>
      <c r="L49" s="260"/>
      <c r="M49" s="260"/>
      <c r="N49" s="260"/>
      <c r="O49" s="262"/>
      <c r="P49" s="524">
        <v>2.1</v>
      </c>
      <c r="Q49" s="491" t="s">
        <v>367</v>
      </c>
      <c r="R49" s="267">
        <v>48000</v>
      </c>
      <c r="S49" s="267">
        <f t="shared" si="2"/>
        <v>100800</v>
      </c>
      <c r="U49" s="311"/>
    </row>
    <row r="50" spans="3:21" s="242" customFormat="1" ht="12.75" customHeight="1">
      <c r="C50" s="489"/>
      <c r="D50" s="490"/>
      <c r="E50" s="491"/>
      <c r="F50" s="491"/>
      <c r="G50" s="491"/>
      <c r="H50" s="489"/>
      <c r="I50" s="260" t="s">
        <v>345</v>
      </c>
      <c r="J50" s="260"/>
      <c r="K50" s="260"/>
      <c r="L50" s="260"/>
      <c r="M50" s="260"/>
      <c r="N50" s="260"/>
      <c r="O50" s="262"/>
      <c r="P50" s="524">
        <v>35</v>
      </c>
      <c r="Q50" s="491" t="s">
        <v>367</v>
      </c>
      <c r="R50" s="267">
        <v>25000</v>
      </c>
      <c r="S50" s="267">
        <f t="shared" si="2"/>
        <v>875000</v>
      </c>
      <c r="U50" s="311"/>
    </row>
    <row r="51" spans="3:21" s="242" customFormat="1" ht="12.75" customHeight="1">
      <c r="C51" s="489"/>
      <c r="D51" s="490"/>
      <c r="E51" s="491"/>
      <c r="F51" s="491"/>
      <c r="G51" s="491"/>
      <c r="H51" s="489"/>
      <c r="I51" s="260" t="s">
        <v>346</v>
      </c>
      <c r="J51" s="260"/>
      <c r="K51" s="260"/>
      <c r="L51" s="260"/>
      <c r="M51" s="260"/>
      <c r="N51" s="260"/>
      <c r="O51" s="262"/>
      <c r="P51" s="524">
        <v>2</v>
      </c>
      <c r="Q51" s="491" t="s">
        <v>367</v>
      </c>
      <c r="R51" s="267">
        <v>22500</v>
      </c>
      <c r="S51" s="267">
        <f t="shared" si="2"/>
        <v>45000</v>
      </c>
      <c r="U51" s="311"/>
    </row>
    <row r="52" spans="3:21" s="242" customFormat="1" ht="12.75" customHeight="1">
      <c r="C52" s="489"/>
      <c r="D52" s="490"/>
      <c r="E52" s="491"/>
      <c r="F52" s="491"/>
      <c r="G52" s="491"/>
      <c r="H52" s="489"/>
      <c r="I52" s="260" t="s">
        <v>347</v>
      </c>
      <c r="J52" s="260"/>
      <c r="K52" s="260"/>
      <c r="L52" s="260"/>
      <c r="M52" s="260"/>
      <c r="N52" s="260"/>
      <c r="O52" s="262"/>
      <c r="P52" s="524">
        <v>1</v>
      </c>
      <c r="Q52" s="491" t="s">
        <v>372</v>
      </c>
      <c r="R52" s="267">
        <v>300000</v>
      </c>
      <c r="S52" s="267">
        <f t="shared" si="2"/>
        <v>300000</v>
      </c>
      <c r="U52" s="311"/>
    </row>
    <row r="53" spans="3:21" s="242" customFormat="1" ht="12.75" customHeight="1">
      <c r="C53" s="489"/>
      <c r="D53" s="490"/>
      <c r="E53" s="491"/>
      <c r="F53" s="491"/>
      <c r="G53" s="491"/>
      <c r="H53" s="489"/>
      <c r="I53" s="260" t="s">
        <v>348</v>
      </c>
      <c r="J53" s="260"/>
      <c r="K53" s="260"/>
      <c r="L53" s="260"/>
      <c r="M53" s="260"/>
      <c r="N53" s="260"/>
      <c r="O53" s="262"/>
      <c r="P53" s="524">
        <v>0.3</v>
      </c>
      <c r="Q53" s="491" t="s">
        <v>182</v>
      </c>
      <c r="R53" s="267">
        <v>1500000</v>
      </c>
      <c r="S53" s="267">
        <f t="shared" si="2"/>
        <v>450000</v>
      </c>
      <c r="U53" s="311"/>
    </row>
    <row r="54" spans="3:21" s="242" customFormat="1" ht="12.75" customHeight="1">
      <c r="C54" s="489"/>
      <c r="D54" s="490"/>
      <c r="E54" s="491"/>
      <c r="F54" s="491"/>
      <c r="G54" s="491"/>
      <c r="H54" s="489"/>
      <c r="I54" s="260" t="s">
        <v>349</v>
      </c>
      <c r="J54" s="260"/>
      <c r="K54" s="260"/>
      <c r="L54" s="260"/>
      <c r="M54" s="260"/>
      <c r="N54" s="260"/>
      <c r="O54" s="262"/>
      <c r="P54" s="524">
        <v>1</v>
      </c>
      <c r="Q54" s="491" t="s">
        <v>365</v>
      </c>
      <c r="R54" s="267">
        <v>70000</v>
      </c>
      <c r="S54" s="267">
        <f t="shared" si="2"/>
        <v>70000</v>
      </c>
      <c r="U54" s="311"/>
    </row>
    <row r="55" spans="3:21" s="242" customFormat="1" ht="12.75" customHeight="1">
      <c r="C55" s="489"/>
      <c r="D55" s="490"/>
      <c r="E55" s="491"/>
      <c r="F55" s="491"/>
      <c r="G55" s="491"/>
      <c r="H55" s="489"/>
      <c r="I55" s="260" t="s">
        <v>350</v>
      </c>
      <c r="J55" s="260"/>
      <c r="K55" s="260"/>
      <c r="L55" s="260"/>
      <c r="M55" s="260"/>
      <c r="N55" s="260"/>
      <c r="O55" s="262"/>
      <c r="P55" s="524">
        <v>1</v>
      </c>
      <c r="Q55" s="491" t="s">
        <v>365</v>
      </c>
      <c r="R55" s="267">
        <v>3500</v>
      </c>
      <c r="S55" s="267">
        <f t="shared" si="2"/>
        <v>3500</v>
      </c>
      <c r="U55" s="311"/>
    </row>
    <row r="56" spans="3:21" s="242" customFormat="1" ht="12.75" customHeight="1">
      <c r="C56" s="489"/>
      <c r="D56" s="490"/>
      <c r="E56" s="491"/>
      <c r="F56" s="491"/>
      <c r="G56" s="491"/>
      <c r="H56" s="489"/>
      <c r="I56" s="260" t="s">
        <v>351</v>
      </c>
      <c r="J56" s="260"/>
      <c r="K56" s="260"/>
      <c r="L56" s="260"/>
      <c r="M56" s="260"/>
      <c r="N56" s="260"/>
      <c r="O56" s="262"/>
      <c r="P56" s="524">
        <v>1</v>
      </c>
      <c r="Q56" s="491" t="s">
        <v>365</v>
      </c>
      <c r="R56" s="267">
        <v>15000</v>
      </c>
      <c r="S56" s="267">
        <f t="shared" si="2"/>
        <v>15000</v>
      </c>
      <c r="U56" s="311"/>
    </row>
    <row r="57" spans="3:21" s="242" customFormat="1" ht="12.75" customHeight="1">
      <c r="C57" s="489"/>
      <c r="D57" s="490"/>
      <c r="E57" s="491"/>
      <c r="F57" s="491"/>
      <c r="G57" s="491"/>
      <c r="H57" s="489"/>
      <c r="I57" s="260" t="s">
        <v>352</v>
      </c>
      <c r="J57" s="260"/>
      <c r="K57" s="260"/>
      <c r="L57" s="260"/>
      <c r="M57" s="260"/>
      <c r="N57" s="260"/>
      <c r="O57" s="262"/>
      <c r="P57" s="524">
        <v>2</v>
      </c>
      <c r="Q57" s="491" t="s">
        <v>365</v>
      </c>
      <c r="R57" s="267">
        <v>7000</v>
      </c>
      <c r="S57" s="267">
        <f t="shared" si="2"/>
        <v>14000</v>
      </c>
      <c r="U57" s="311"/>
    </row>
    <row r="58" spans="3:21" s="242" customFormat="1" ht="12.75" customHeight="1">
      <c r="C58" s="489"/>
      <c r="D58" s="490"/>
      <c r="E58" s="491"/>
      <c r="F58" s="491"/>
      <c r="G58" s="491"/>
      <c r="H58" s="489"/>
      <c r="I58" s="260" t="s">
        <v>353</v>
      </c>
      <c r="J58" s="260"/>
      <c r="K58" s="260"/>
      <c r="L58" s="260"/>
      <c r="M58" s="260"/>
      <c r="N58" s="260"/>
      <c r="O58" s="262"/>
      <c r="P58" s="524">
        <v>2</v>
      </c>
      <c r="Q58" s="491" t="s">
        <v>365</v>
      </c>
      <c r="R58" s="267">
        <v>5000</v>
      </c>
      <c r="S58" s="267">
        <f t="shared" si="2"/>
        <v>10000</v>
      </c>
      <c r="U58" s="311"/>
    </row>
    <row r="59" spans="3:21" s="242" customFormat="1" ht="12.75" customHeight="1">
      <c r="C59" s="489"/>
      <c r="D59" s="490"/>
      <c r="E59" s="491"/>
      <c r="F59" s="491"/>
      <c r="G59" s="491"/>
      <c r="H59" s="489"/>
      <c r="I59" s="260" t="s">
        <v>354</v>
      </c>
      <c r="J59" s="260"/>
      <c r="K59" s="260"/>
      <c r="L59" s="260"/>
      <c r="M59" s="260"/>
      <c r="N59" s="260"/>
      <c r="O59" s="262"/>
      <c r="P59" s="524">
        <v>1</v>
      </c>
      <c r="Q59" s="491" t="s">
        <v>365</v>
      </c>
      <c r="R59" s="267">
        <v>170000</v>
      </c>
      <c r="S59" s="267">
        <f t="shared" si="2"/>
        <v>170000</v>
      </c>
      <c r="U59" s="311"/>
    </row>
    <row r="60" spans="3:21" s="242" customFormat="1" ht="12.75" customHeight="1">
      <c r="C60" s="489"/>
      <c r="D60" s="490"/>
      <c r="E60" s="491"/>
      <c r="F60" s="491"/>
      <c r="G60" s="491"/>
      <c r="H60" s="489"/>
      <c r="I60" s="260" t="s">
        <v>399</v>
      </c>
      <c r="J60" s="260"/>
      <c r="K60" s="260"/>
      <c r="L60" s="260"/>
      <c r="M60" s="260"/>
      <c r="N60" s="260"/>
      <c r="O60" s="262"/>
      <c r="P60" s="524">
        <v>2</v>
      </c>
      <c r="Q60" s="491" t="s">
        <v>371</v>
      </c>
      <c r="R60" s="267">
        <v>65000</v>
      </c>
      <c r="S60" s="267">
        <f t="shared" si="2"/>
        <v>130000</v>
      </c>
      <c r="U60" s="311"/>
    </row>
    <row r="61" spans="3:21" s="242" customFormat="1" ht="12.75" customHeight="1">
      <c r="C61" s="489"/>
      <c r="D61" s="490"/>
      <c r="E61" s="491"/>
      <c r="F61" s="491"/>
      <c r="G61" s="491"/>
      <c r="H61" s="489"/>
      <c r="I61" s="260" t="s">
        <v>400</v>
      </c>
      <c r="J61" s="260"/>
      <c r="K61" s="260"/>
      <c r="L61" s="260"/>
      <c r="M61" s="260"/>
      <c r="N61" s="260"/>
      <c r="O61" s="262"/>
      <c r="P61" s="524">
        <v>2</v>
      </c>
      <c r="Q61" s="491" t="s">
        <v>365</v>
      </c>
      <c r="R61" s="267">
        <v>6500</v>
      </c>
      <c r="S61" s="267">
        <f t="shared" si="2"/>
        <v>13000</v>
      </c>
      <c r="U61" s="311"/>
    </row>
    <row r="62" spans="3:21" s="242" customFormat="1" ht="12.75" customHeight="1">
      <c r="C62" s="489"/>
      <c r="D62" s="490"/>
      <c r="E62" s="491"/>
      <c r="F62" s="491"/>
      <c r="G62" s="491"/>
      <c r="H62" s="489"/>
      <c r="I62" s="260" t="s">
        <v>401</v>
      </c>
      <c r="J62" s="260"/>
      <c r="K62" s="260"/>
      <c r="L62" s="260"/>
      <c r="M62" s="260"/>
      <c r="N62" s="260"/>
      <c r="O62" s="262"/>
      <c r="P62" s="524">
        <v>2</v>
      </c>
      <c r="Q62" s="491" t="s">
        <v>365</v>
      </c>
      <c r="R62" s="267">
        <v>3500</v>
      </c>
      <c r="S62" s="267">
        <f t="shared" si="2"/>
        <v>7000</v>
      </c>
      <c r="U62" s="311"/>
    </row>
    <row r="63" spans="3:21" s="242" customFormat="1" ht="12.75" customHeight="1">
      <c r="C63" s="489"/>
      <c r="D63" s="490"/>
      <c r="E63" s="491"/>
      <c r="F63" s="491"/>
      <c r="G63" s="491"/>
      <c r="H63" s="489"/>
      <c r="I63" s="260" t="s">
        <v>402</v>
      </c>
      <c r="J63" s="260"/>
      <c r="K63" s="260"/>
      <c r="L63" s="260"/>
      <c r="M63" s="260"/>
      <c r="N63" s="260"/>
      <c r="O63" s="262"/>
      <c r="P63" s="524">
        <v>5</v>
      </c>
      <c r="Q63" s="491" t="s">
        <v>371</v>
      </c>
      <c r="R63" s="267">
        <v>20000</v>
      </c>
      <c r="S63" s="267">
        <f t="shared" si="2"/>
        <v>100000</v>
      </c>
      <c r="U63" s="311"/>
    </row>
    <row r="64" spans="3:21" s="242" customFormat="1" ht="12.75" customHeight="1">
      <c r="C64" s="489"/>
      <c r="D64" s="490"/>
      <c r="E64" s="491"/>
      <c r="F64" s="491"/>
      <c r="G64" s="491"/>
      <c r="H64" s="489"/>
      <c r="I64" s="260" t="s">
        <v>388</v>
      </c>
      <c r="J64" s="260"/>
      <c r="K64" s="260"/>
      <c r="L64" s="260"/>
      <c r="M64" s="260"/>
      <c r="N64" s="260"/>
      <c r="O64" s="262"/>
      <c r="P64" s="524">
        <v>1</v>
      </c>
      <c r="Q64" s="491" t="s">
        <v>373</v>
      </c>
      <c r="R64" s="267">
        <v>750000</v>
      </c>
      <c r="S64" s="267">
        <f t="shared" si="2"/>
        <v>750000</v>
      </c>
      <c r="U64" s="311"/>
    </row>
    <row r="65" spans="3:21" s="242" customFormat="1" ht="12.75" customHeight="1">
      <c r="C65" s="489"/>
      <c r="D65" s="490"/>
      <c r="E65" s="491"/>
      <c r="F65" s="491"/>
      <c r="G65" s="491"/>
      <c r="H65" s="489"/>
      <c r="I65" s="260" t="s">
        <v>360</v>
      </c>
      <c r="J65" s="260"/>
      <c r="K65" s="260"/>
      <c r="L65" s="260"/>
      <c r="M65" s="260"/>
      <c r="N65" s="260"/>
      <c r="O65" s="262"/>
      <c r="P65" s="524">
        <v>1</v>
      </c>
      <c r="Q65" s="491" t="s">
        <v>55</v>
      </c>
      <c r="R65" s="267">
        <v>20000</v>
      </c>
      <c r="S65" s="267">
        <f t="shared" si="2"/>
        <v>20000</v>
      </c>
      <c r="U65" s="311"/>
    </row>
    <row r="66" spans="3:21" s="242" customFormat="1" ht="12.75" customHeight="1">
      <c r="C66" s="489"/>
      <c r="D66" s="490"/>
      <c r="E66" s="491"/>
      <c r="F66" s="491"/>
      <c r="G66" s="491"/>
      <c r="H66" s="489"/>
      <c r="I66" s="260" t="s">
        <v>361</v>
      </c>
      <c r="J66" s="260"/>
      <c r="K66" s="260"/>
      <c r="L66" s="260"/>
      <c r="M66" s="260"/>
      <c r="N66" s="260"/>
      <c r="O66" s="262"/>
      <c r="P66" s="524">
        <v>1</v>
      </c>
      <c r="Q66" s="491" t="s">
        <v>55</v>
      </c>
      <c r="R66" s="267">
        <v>50000</v>
      </c>
      <c r="S66" s="267">
        <f t="shared" si="2"/>
        <v>50000</v>
      </c>
      <c r="U66" s="311"/>
    </row>
    <row r="67" spans="3:21" s="242" customFormat="1" ht="12.75" customHeight="1">
      <c r="C67" s="489"/>
      <c r="D67" s="490"/>
      <c r="E67" s="491"/>
      <c r="F67" s="491"/>
      <c r="G67" s="491"/>
      <c r="H67" s="489"/>
      <c r="I67" s="260" t="s">
        <v>362</v>
      </c>
      <c r="J67" s="260"/>
      <c r="K67" s="260"/>
      <c r="L67" s="260"/>
      <c r="M67" s="260"/>
      <c r="N67" s="260"/>
      <c r="O67" s="262"/>
      <c r="P67" s="524">
        <v>1</v>
      </c>
      <c r="Q67" s="491" t="s">
        <v>55</v>
      </c>
      <c r="R67" s="267">
        <v>15000</v>
      </c>
      <c r="S67" s="267">
        <f t="shared" si="2"/>
        <v>15000</v>
      </c>
      <c r="U67" s="311"/>
    </row>
    <row r="68" spans="3:21" s="242" customFormat="1" ht="12.75" customHeight="1">
      <c r="C68" s="501"/>
      <c r="D68" s="502"/>
      <c r="E68" s="273"/>
      <c r="F68" s="273"/>
      <c r="G68" s="273"/>
      <c r="H68" s="501"/>
      <c r="I68" s="275" t="s">
        <v>390</v>
      </c>
      <c r="J68" s="275"/>
      <c r="K68" s="275"/>
      <c r="L68" s="275"/>
      <c r="M68" s="275"/>
      <c r="N68" s="275"/>
      <c r="O68" s="465"/>
      <c r="P68" s="559">
        <v>29</v>
      </c>
      <c r="Q68" s="273" t="s">
        <v>297</v>
      </c>
      <c r="R68" s="277">
        <v>60000</v>
      </c>
      <c r="S68" s="277">
        <f t="shared" si="2"/>
        <v>1740000</v>
      </c>
      <c r="U68" s="311"/>
    </row>
    <row r="69" spans="3:21" s="242" customFormat="1" ht="12.75" customHeight="1">
      <c r="C69" s="355"/>
      <c r="D69" s="355"/>
      <c r="E69" s="355"/>
      <c r="F69" s="355"/>
      <c r="G69" s="355"/>
      <c r="H69" s="355"/>
      <c r="I69" s="357"/>
      <c r="J69" s="357"/>
      <c r="K69" s="357"/>
      <c r="L69" s="357"/>
      <c r="M69" s="357"/>
      <c r="N69" s="357"/>
      <c r="O69" s="357"/>
      <c r="P69" s="563"/>
      <c r="Q69" s="355"/>
      <c r="R69" s="358"/>
      <c r="S69" s="358"/>
      <c r="U69" s="311"/>
    </row>
    <row r="70" spans="3:21" s="242" customFormat="1" ht="12.75" customHeight="1">
      <c r="C70" s="338"/>
      <c r="D70" s="338"/>
      <c r="E70" s="338"/>
      <c r="F70" s="338"/>
      <c r="G70" s="338"/>
      <c r="H70" s="338"/>
      <c r="I70" s="337"/>
      <c r="J70" s="337"/>
      <c r="K70" s="337"/>
      <c r="L70" s="337"/>
      <c r="M70" s="337"/>
      <c r="N70" s="337"/>
      <c r="O70" s="337"/>
      <c r="P70" s="564"/>
      <c r="Q70" s="338"/>
      <c r="R70" s="361"/>
      <c r="S70" s="361"/>
      <c r="U70" s="311"/>
    </row>
    <row r="71" spans="3:21" s="242" customFormat="1" ht="12.75" customHeight="1">
      <c r="C71" s="338"/>
      <c r="D71" s="338"/>
      <c r="E71" s="338"/>
      <c r="F71" s="338"/>
      <c r="G71" s="338"/>
      <c r="H71" s="338"/>
      <c r="I71" s="337"/>
      <c r="J71" s="337"/>
      <c r="K71" s="337"/>
      <c r="L71" s="337"/>
      <c r="M71" s="337"/>
      <c r="N71" s="337"/>
      <c r="O71" s="337"/>
      <c r="P71" s="564"/>
      <c r="Q71" s="338"/>
      <c r="R71" s="361"/>
      <c r="S71" s="361"/>
      <c r="U71" s="311"/>
    </row>
    <row r="72" spans="3:21" s="242" customFormat="1" ht="12.75" customHeight="1">
      <c r="C72" s="338"/>
      <c r="D72" s="338"/>
      <c r="E72" s="338"/>
      <c r="F72" s="338"/>
      <c r="G72" s="338"/>
      <c r="H72" s="338"/>
      <c r="I72" s="337"/>
      <c r="J72" s="337"/>
      <c r="K72" s="337"/>
      <c r="L72" s="337"/>
      <c r="M72" s="337"/>
      <c r="N72" s="337"/>
      <c r="O72" s="337"/>
      <c r="P72" s="564"/>
      <c r="Q72" s="338"/>
      <c r="R72" s="361"/>
      <c r="S72" s="361"/>
      <c r="U72" s="311"/>
    </row>
    <row r="73" spans="3:21" s="242" customFormat="1" ht="12.75" customHeight="1">
      <c r="C73" s="338"/>
      <c r="D73" s="338"/>
      <c r="E73" s="338"/>
      <c r="F73" s="338"/>
      <c r="G73" s="338"/>
      <c r="H73" s="338"/>
      <c r="I73" s="337"/>
      <c r="J73" s="337"/>
      <c r="K73" s="337"/>
      <c r="L73" s="337"/>
      <c r="M73" s="337"/>
      <c r="N73" s="337"/>
      <c r="O73" s="337"/>
      <c r="P73" s="564"/>
      <c r="Q73" s="338"/>
      <c r="R73" s="361"/>
      <c r="S73" s="361"/>
      <c r="U73" s="311"/>
    </row>
    <row r="74" spans="3:21" s="242" customFormat="1" ht="12.75" customHeight="1">
      <c r="C74" s="338"/>
      <c r="D74" s="338"/>
      <c r="E74" s="338"/>
      <c r="F74" s="338"/>
      <c r="G74" s="338"/>
      <c r="H74" s="338"/>
      <c r="I74" s="337"/>
      <c r="J74" s="337"/>
      <c r="K74" s="337"/>
      <c r="L74" s="337"/>
      <c r="M74" s="337"/>
      <c r="N74" s="337"/>
      <c r="O74" s="337"/>
      <c r="P74" s="564"/>
      <c r="Q74" s="338"/>
      <c r="R74" s="361"/>
      <c r="S74" s="361"/>
      <c r="U74" s="311"/>
    </row>
    <row r="75" spans="3:21" s="242" customFormat="1" ht="12.75" customHeight="1">
      <c r="C75" s="338"/>
      <c r="D75" s="338"/>
      <c r="E75" s="338"/>
      <c r="F75" s="338"/>
      <c r="G75" s="338"/>
      <c r="H75" s="338"/>
      <c r="I75" s="337"/>
      <c r="J75" s="337"/>
      <c r="K75" s="337"/>
      <c r="L75" s="337"/>
      <c r="M75" s="337"/>
      <c r="N75" s="337"/>
      <c r="O75" s="337"/>
      <c r="P75" s="564"/>
      <c r="Q75" s="338"/>
      <c r="R75" s="361"/>
      <c r="S75" s="361"/>
      <c r="U75" s="311"/>
    </row>
    <row r="76" spans="3:21" s="242" customFormat="1" ht="12.75" customHeight="1">
      <c r="C76" s="338"/>
      <c r="D76" s="338"/>
      <c r="E76" s="338"/>
      <c r="F76" s="338"/>
      <c r="G76" s="338"/>
      <c r="H76" s="338"/>
      <c r="I76" s="337"/>
      <c r="J76" s="337"/>
      <c r="K76" s="337"/>
      <c r="L76" s="337"/>
      <c r="M76" s="337"/>
      <c r="N76" s="337"/>
      <c r="O76" s="337"/>
      <c r="P76" s="564"/>
      <c r="Q76" s="338"/>
      <c r="R76" s="361"/>
      <c r="S76" s="361"/>
      <c r="U76" s="311"/>
    </row>
    <row r="77" spans="3:21" s="242" customFormat="1" ht="12.75" customHeight="1">
      <c r="C77" s="338"/>
      <c r="D77" s="338"/>
      <c r="E77" s="338"/>
      <c r="F77" s="338"/>
      <c r="G77" s="338"/>
      <c r="H77" s="338"/>
      <c r="I77" s="337"/>
      <c r="J77" s="337"/>
      <c r="K77" s="337"/>
      <c r="L77" s="337"/>
      <c r="M77" s="337"/>
      <c r="N77" s="337"/>
      <c r="O77" s="337"/>
      <c r="P77" s="564"/>
      <c r="Q77" s="338"/>
      <c r="R77" s="361"/>
      <c r="S77" s="361"/>
      <c r="U77" s="311"/>
    </row>
    <row r="78" spans="3:21" s="242" customFormat="1" ht="12.75" customHeight="1">
      <c r="C78" s="363"/>
      <c r="D78" s="363"/>
      <c r="E78" s="363"/>
      <c r="F78" s="363"/>
      <c r="G78" s="363"/>
      <c r="H78" s="363"/>
      <c r="I78" s="364"/>
      <c r="J78" s="364"/>
      <c r="K78" s="364"/>
      <c r="L78" s="364"/>
      <c r="M78" s="364"/>
      <c r="N78" s="364"/>
      <c r="O78" s="364"/>
      <c r="P78" s="565"/>
      <c r="Q78" s="363"/>
      <c r="R78" s="365"/>
      <c r="S78" s="365"/>
      <c r="U78" s="311"/>
    </row>
    <row r="79" spans="3:21" s="242" customFormat="1" ht="12.75" customHeight="1">
      <c r="C79" s="306"/>
      <c r="D79" s="540"/>
      <c r="E79" s="307"/>
      <c r="F79" s="307"/>
      <c r="G79" s="307"/>
      <c r="H79" s="306"/>
      <c r="I79" s="542" t="s">
        <v>363</v>
      </c>
      <c r="J79" s="542"/>
      <c r="K79" s="542"/>
      <c r="L79" s="542"/>
      <c r="M79" s="542"/>
      <c r="N79" s="542"/>
      <c r="O79" s="543"/>
      <c r="P79" s="561">
        <v>1</v>
      </c>
      <c r="Q79" s="307" t="s">
        <v>374</v>
      </c>
      <c r="R79" s="562">
        <v>160000</v>
      </c>
      <c r="S79" s="562">
        <f t="shared" si="2"/>
        <v>160000</v>
      </c>
      <c r="U79" s="311"/>
    </row>
    <row r="80" spans="3:21" s="242" customFormat="1" ht="12.75" customHeight="1">
      <c r="C80" s="489"/>
      <c r="D80" s="490"/>
      <c r="E80" s="491"/>
      <c r="F80" s="491"/>
      <c r="G80" s="491"/>
      <c r="H80" s="489"/>
      <c r="I80" s="260" t="s">
        <v>364</v>
      </c>
      <c r="J80" s="260"/>
      <c r="K80" s="260"/>
      <c r="L80" s="260"/>
      <c r="M80" s="260"/>
      <c r="N80" s="260"/>
      <c r="O80" s="262"/>
      <c r="P80" s="524">
        <v>1</v>
      </c>
      <c r="Q80" s="491" t="s">
        <v>55</v>
      </c>
      <c r="R80" s="267">
        <v>413300</v>
      </c>
      <c r="S80" s="267">
        <f t="shared" si="2"/>
        <v>413300</v>
      </c>
      <c r="U80" s="311"/>
    </row>
    <row r="81" spans="3:22" s="242" customFormat="1" ht="12.75" customHeight="1">
      <c r="C81" s="326"/>
      <c r="D81" s="331"/>
      <c r="E81" s="327"/>
      <c r="F81" s="327"/>
      <c r="G81" s="327"/>
      <c r="H81" s="516"/>
      <c r="I81" s="555" t="s">
        <v>391</v>
      </c>
      <c r="J81" s="329"/>
      <c r="K81" s="330"/>
      <c r="L81" s="330"/>
      <c r="M81" s="330"/>
      <c r="N81" s="330"/>
      <c r="O81" s="331"/>
      <c r="P81" s="519">
        <v>25</v>
      </c>
      <c r="Q81" s="327" t="s">
        <v>392</v>
      </c>
      <c r="R81" s="332">
        <v>350000</v>
      </c>
      <c r="S81" s="332">
        <f t="shared" si="2"/>
        <v>8750000</v>
      </c>
      <c r="U81" s="311"/>
    </row>
    <row r="82" spans="3:22" s="242" customFormat="1" ht="12.75" customHeight="1">
      <c r="C82" s="306"/>
      <c r="D82" s="540"/>
      <c r="E82" s="307"/>
      <c r="F82" s="307"/>
      <c r="G82" s="307"/>
      <c r="H82" s="541"/>
      <c r="I82" s="344" t="s">
        <v>569</v>
      </c>
      <c r="J82" s="542"/>
      <c r="K82" s="560"/>
      <c r="L82" s="560"/>
      <c r="M82" s="560"/>
      <c r="N82" s="560"/>
      <c r="O82" s="540"/>
      <c r="P82" s="561">
        <v>1</v>
      </c>
      <c r="Q82" s="307" t="s">
        <v>374</v>
      </c>
      <c r="R82" s="562">
        <v>450000</v>
      </c>
      <c r="S82" s="562">
        <f t="shared" si="2"/>
        <v>450000</v>
      </c>
      <c r="U82" s="311"/>
    </row>
    <row r="83" spans="3:22" s="242" customFormat="1" ht="12.75" customHeight="1">
      <c r="C83" s="334"/>
      <c r="D83" s="339"/>
      <c r="E83" s="335"/>
      <c r="F83" s="335"/>
      <c r="G83" s="335"/>
      <c r="H83" s="556"/>
      <c r="I83" s="481"/>
      <c r="J83" s="337"/>
      <c r="K83" s="338"/>
      <c r="L83" s="338"/>
      <c r="M83" s="338"/>
      <c r="N83" s="338"/>
      <c r="O83" s="339"/>
      <c r="P83" s="526"/>
      <c r="Q83" s="335"/>
      <c r="R83" s="340"/>
      <c r="S83" s="340"/>
      <c r="U83" s="311"/>
    </row>
    <row r="84" spans="3:22" s="242" customFormat="1" ht="12.75" customHeight="1">
      <c r="C84" s="489"/>
      <c r="D84" s="490"/>
      <c r="E84" s="491"/>
      <c r="F84" s="491"/>
      <c r="G84" s="491"/>
      <c r="H84" s="447" t="s">
        <v>14</v>
      </c>
      <c r="I84" s="323" t="s">
        <v>421</v>
      </c>
      <c r="J84" s="260"/>
      <c r="K84" s="265"/>
      <c r="L84" s="265"/>
      <c r="M84" s="265"/>
      <c r="N84" s="265"/>
      <c r="O84" s="490"/>
      <c r="P84" s="524"/>
      <c r="Q84" s="491"/>
      <c r="R84" s="267"/>
      <c r="S84" s="320">
        <f>SUM(S85:S92)</f>
        <v>16294500</v>
      </c>
      <c r="U84" s="311"/>
      <c r="V84" s="311">
        <f>S84+S24</f>
        <v>21019500</v>
      </c>
    </row>
    <row r="85" spans="3:22" s="242" customFormat="1" ht="12.75" customHeight="1">
      <c r="C85" s="489"/>
      <c r="D85" s="490"/>
      <c r="E85" s="491"/>
      <c r="F85" s="491"/>
      <c r="G85" s="491"/>
      <c r="H85" s="447"/>
      <c r="I85" s="323" t="s">
        <v>326</v>
      </c>
      <c r="J85" s="260"/>
      <c r="K85" s="265"/>
      <c r="L85" s="265"/>
      <c r="M85" s="265"/>
      <c r="N85" s="265"/>
      <c r="O85" s="490"/>
      <c r="P85" s="524">
        <v>1</v>
      </c>
      <c r="Q85" s="491" t="s">
        <v>182</v>
      </c>
      <c r="R85" s="267">
        <v>225000</v>
      </c>
      <c r="S85" s="267">
        <f>P85*R85</f>
        <v>225000</v>
      </c>
      <c r="U85" s="311"/>
    </row>
    <row r="86" spans="3:22" s="242" customFormat="1" ht="12.75" customHeight="1">
      <c r="C86" s="489"/>
      <c r="D86" s="490"/>
      <c r="E86" s="491"/>
      <c r="F86" s="491"/>
      <c r="G86" s="491"/>
      <c r="H86" s="447"/>
      <c r="I86" s="323" t="s">
        <v>62</v>
      </c>
      <c r="J86" s="260"/>
      <c r="K86" s="265"/>
      <c r="L86" s="265"/>
      <c r="M86" s="265"/>
      <c r="N86" s="265"/>
      <c r="O86" s="490"/>
      <c r="P86" s="524">
        <v>2</v>
      </c>
      <c r="Q86" s="491" t="s">
        <v>63</v>
      </c>
      <c r="R86" s="267">
        <v>65000</v>
      </c>
      <c r="S86" s="267">
        <f t="shared" ref="S86:S92" si="3">P86*R86</f>
        <v>130000</v>
      </c>
      <c r="U86" s="311"/>
    </row>
    <row r="87" spans="3:22" s="242" customFormat="1" ht="12.75" customHeight="1">
      <c r="C87" s="489"/>
      <c r="D87" s="490"/>
      <c r="E87" s="491"/>
      <c r="F87" s="491"/>
      <c r="G87" s="491"/>
      <c r="H87" s="447"/>
      <c r="I87" s="323" t="s">
        <v>331</v>
      </c>
      <c r="J87" s="260"/>
      <c r="K87" s="265"/>
      <c r="L87" s="265"/>
      <c r="M87" s="265"/>
      <c r="N87" s="265"/>
      <c r="O87" s="490"/>
      <c r="P87" s="524">
        <v>5</v>
      </c>
      <c r="Q87" s="491" t="s">
        <v>53</v>
      </c>
      <c r="R87" s="267">
        <v>60000</v>
      </c>
      <c r="S87" s="267">
        <f t="shared" si="3"/>
        <v>300000</v>
      </c>
      <c r="U87" s="311"/>
    </row>
    <row r="88" spans="3:22" s="242" customFormat="1" ht="12.75" customHeight="1">
      <c r="C88" s="489"/>
      <c r="D88" s="490"/>
      <c r="E88" s="491"/>
      <c r="F88" s="491"/>
      <c r="G88" s="491"/>
      <c r="H88" s="447"/>
      <c r="I88" s="323" t="s">
        <v>418</v>
      </c>
      <c r="J88" s="260"/>
      <c r="K88" s="265"/>
      <c r="L88" s="265"/>
      <c r="M88" s="265"/>
      <c r="N88" s="265"/>
      <c r="O88" s="490"/>
      <c r="P88" s="524">
        <v>2</v>
      </c>
      <c r="Q88" s="491" t="s">
        <v>413</v>
      </c>
      <c r="R88" s="267">
        <v>70000</v>
      </c>
      <c r="S88" s="267">
        <f t="shared" si="3"/>
        <v>140000</v>
      </c>
      <c r="U88" s="311"/>
    </row>
    <row r="89" spans="3:22" s="242" customFormat="1" ht="12.75" customHeight="1">
      <c r="C89" s="489"/>
      <c r="D89" s="490"/>
      <c r="E89" s="491"/>
      <c r="F89" s="491"/>
      <c r="G89" s="491"/>
      <c r="H89" s="447"/>
      <c r="I89" s="323" t="s">
        <v>422</v>
      </c>
      <c r="J89" s="260"/>
      <c r="K89" s="265"/>
      <c r="L89" s="265"/>
      <c r="M89" s="265"/>
      <c r="N89" s="265"/>
      <c r="O89" s="490"/>
      <c r="P89" s="524">
        <v>65</v>
      </c>
      <c r="Q89" s="491" t="s">
        <v>413</v>
      </c>
      <c r="R89" s="267">
        <v>85000</v>
      </c>
      <c r="S89" s="267">
        <f t="shared" si="3"/>
        <v>5525000</v>
      </c>
      <c r="U89" s="311"/>
    </row>
    <row r="90" spans="3:22" s="242" customFormat="1" ht="12.75" customHeight="1">
      <c r="C90" s="489"/>
      <c r="D90" s="490"/>
      <c r="E90" s="491"/>
      <c r="F90" s="491"/>
      <c r="G90" s="491"/>
      <c r="H90" s="447"/>
      <c r="I90" s="323" t="s">
        <v>423</v>
      </c>
      <c r="J90" s="260"/>
      <c r="K90" s="265"/>
      <c r="L90" s="265"/>
      <c r="M90" s="265"/>
      <c r="N90" s="265"/>
      <c r="O90" s="490"/>
      <c r="P90" s="524">
        <v>40</v>
      </c>
      <c r="Q90" s="491" t="s">
        <v>413</v>
      </c>
      <c r="R90" s="267">
        <v>45000</v>
      </c>
      <c r="S90" s="267">
        <f t="shared" si="3"/>
        <v>1800000</v>
      </c>
      <c r="U90" s="311"/>
    </row>
    <row r="91" spans="3:22" s="242" customFormat="1" ht="12.75" customHeight="1">
      <c r="C91" s="489"/>
      <c r="D91" s="490"/>
      <c r="E91" s="491"/>
      <c r="F91" s="491"/>
      <c r="G91" s="491"/>
      <c r="H91" s="447"/>
      <c r="I91" s="323" t="s">
        <v>419</v>
      </c>
      <c r="J91" s="260"/>
      <c r="K91" s="265"/>
      <c r="L91" s="265"/>
      <c r="M91" s="265"/>
      <c r="N91" s="265"/>
      <c r="O91" s="490"/>
      <c r="P91" s="524">
        <v>4</v>
      </c>
      <c r="Q91" s="491" t="s">
        <v>53</v>
      </c>
      <c r="R91" s="267">
        <v>175000</v>
      </c>
      <c r="S91" s="267">
        <f t="shared" si="3"/>
        <v>700000</v>
      </c>
      <c r="U91" s="311"/>
    </row>
    <row r="92" spans="3:22" s="242" customFormat="1" ht="12.75" customHeight="1">
      <c r="C92" s="489"/>
      <c r="D92" s="490"/>
      <c r="E92" s="491"/>
      <c r="F92" s="491"/>
      <c r="G92" s="491"/>
      <c r="H92" s="447"/>
      <c r="I92" s="323" t="s">
        <v>420</v>
      </c>
      <c r="J92" s="260"/>
      <c r="K92" s="265"/>
      <c r="L92" s="265"/>
      <c r="M92" s="265"/>
      <c r="N92" s="265"/>
      <c r="O92" s="490"/>
      <c r="P92" s="524">
        <v>151</v>
      </c>
      <c r="Q92" s="491" t="s">
        <v>369</v>
      </c>
      <c r="R92" s="267">
        <v>49500</v>
      </c>
      <c r="S92" s="267">
        <f t="shared" si="3"/>
        <v>7474500</v>
      </c>
      <c r="U92" s="311"/>
    </row>
    <row r="93" spans="3:22" s="242" customFormat="1" ht="12.75" customHeight="1">
      <c r="C93" s="501"/>
      <c r="D93" s="502"/>
      <c r="E93" s="273"/>
      <c r="F93" s="273"/>
      <c r="G93" s="273"/>
      <c r="H93" s="557"/>
      <c r="I93" s="558"/>
      <c r="J93" s="275"/>
      <c r="K93" s="274"/>
      <c r="L93" s="274"/>
      <c r="M93" s="274"/>
      <c r="N93" s="274"/>
      <c r="O93" s="502"/>
      <c r="P93" s="559"/>
      <c r="Q93" s="273"/>
      <c r="R93" s="277"/>
      <c r="S93" s="277"/>
      <c r="U93" s="311"/>
    </row>
    <row r="94" spans="3:22" s="242" customFormat="1" ht="15" customHeight="1">
      <c r="C94" s="872"/>
      <c r="D94" s="872"/>
      <c r="E94" s="488"/>
      <c r="F94" s="488"/>
      <c r="G94" s="488"/>
      <c r="H94" s="848" t="s">
        <v>163</v>
      </c>
      <c r="I94" s="849"/>
      <c r="J94" s="849"/>
      <c r="K94" s="849"/>
      <c r="L94" s="849"/>
      <c r="M94" s="849"/>
      <c r="N94" s="849"/>
      <c r="O94" s="850"/>
      <c r="P94" s="449"/>
      <c r="Q94" s="449"/>
      <c r="R94" s="349"/>
      <c r="S94" s="350">
        <f>SUM(S18+S28)</f>
        <v>118467200</v>
      </c>
    </row>
    <row r="95" spans="3:22" s="242" customFormat="1" ht="16.5">
      <c r="C95" s="450"/>
      <c r="D95" s="451"/>
      <c r="E95" s="451"/>
      <c r="F95" s="451"/>
      <c r="G95" s="451"/>
      <c r="H95" s="452"/>
      <c r="I95" s="452"/>
      <c r="J95" s="452"/>
      <c r="K95" s="354"/>
      <c r="L95" s="354"/>
      <c r="M95" s="354"/>
      <c r="N95" s="354"/>
      <c r="O95" s="354"/>
      <c r="P95" s="354"/>
      <c r="Q95" s="354"/>
      <c r="R95" s="453"/>
      <c r="S95" s="454"/>
    </row>
    <row r="96" spans="3:22" s="242" customFormat="1" ht="16.5">
      <c r="C96" s="351"/>
      <c r="D96" s="286"/>
      <c r="E96" s="286"/>
      <c r="F96" s="286"/>
      <c r="G96" s="286"/>
      <c r="H96" s="455"/>
      <c r="I96" s="455"/>
      <c r="J96" s="455"/>
      <c r="K96" s="284"/>
      <c r="L96" s="284"/>
      <c r="M96" s="284"/>
      <c r="N96" s="284"/>
      <c r="O96" s="284"/>
      <c r="P96" s="284"/>
      <c r="Q96" s="284"/>
      <c r="R96" s="352"/>
      <c r="S96" s="353"/>
    </row>
    <row r="97" spans="3:19" s="242" customFormat="1" ht="16.5">
      <c r="C97" s="351"/>
      <c r="D97" s="286"/>
      <c r="E97" s="286"/>
      <c r="F97" s="286"/>
      <c r="G97" s="286"/>
      <c r="H97" s="455"/>
      <c r="I97" s="455"/>
      <c r="J97" s="455"/>
      <c r="K97" s="284"/>
      <c r="L97" s="284"/>
      <c r="M97" s="284"/>
      <c r="N97" s="284"/>
      <c r="O97" s="284"/>
      <c r="P97" s="284"/>
      <c r="Q97" s="284"/>
      <c r="R97" s="352"/>
      <c r="S97" s="353"/>
    </row>
    <row r="98" spans="3:19" s="242" customFormat="1" ht="16.5">
      <c r="C98" s="351"/>
      <c r="D98" s="286"/>
      <c r="E98" s="286"/>
      <c r="F98" s="286"/>
      <c r="G98" s="286"/>
      <c r="H98" s="455"/>
      <c r="I98" s="455"/>
      <c r="J98" s="455"/>
      <c r="K98" s="284"/>
      <c r="L98" s="284"/>
      <c r="M98" s="284"/>
      <c r="N98" s="284"/>
      <c r="O98" s="284"/>
      <c r="P98" s="284"/>
      <c r="Q98" s="284"/>
      <c r="R98" s="352" t="s">
        <v>559</v>
      </c>
      <c r="S98" s="353"/>
    </row>
    <row r="99" spans="3:19" s="242" customFormat="1" ht="16.5">
      <c r="C99" s="283"/>
      <c r="D99" s="284"/>
      <c r="E99" s="284"/>
      <c r="F99" s="284"/>
      <c r="G99" s="284"/>
      <c r="H99" s="284"/>
      <c r="I99" s="286" t="s">
        <v>168</v>
      </c>
      <c r="J99" s="284"/>
      <c r="K99" s="284"/>
      <c r="L99" s="284"/>
      <c r="M99" s="284"/>
      <c r="N99" s="284"/>
      <c r="O99" s="284"/>
      <c r="P99" s="284"/>
      <c r="Q99" s="284"/>
      <c r="R99" s="469" t="s">
        <v>193</v>
      </c>
      <c r="S99" s="285"/>
    </row>
    <row r="100" spans="3:19" s="242" customFormat="1" ht="16.5">
      <c r="C100" s="283"/>
      <c r="D100" s="284"/>
      <c r="E100" s="284"/>
      <c r="F100" s="284"/>
      <c r="G100" s="284"/>
      <c r="H100" s="284"/>
      <c r="I100" s="286" t="s">
        <v>298</v>
      </c>
      <c r="J100" s="284"/>
      <c r="K100" s="284"/>
      <c r="L100" s="284"/>
      <c r="M100" s="284"/>
      <c r="N100" s="284"/>
      <c r="O100" s="284"/>
      <c r="P100" s="284"/>
      <c r="Q100" s="284"/>
      <c r="R100" s="284"/>
      <c r="S100" s="285"/>
    </row>
    <row r="101" spans="3:19" s="242" customFormat="1" ht="16.5">
      <c r="C101" s="283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5"/>
    </row>
    <row r="102" spans="3:19" s="242" customFormat="1" ht="16.5">
      <c r="C102" s="283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5"/>
    </row>
    <row r="103" spans="3:19" s="242" customFormat="1" ht="16.5">
      <c r="C103" s="283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5"/>
    </row>
    <row r="104" spans="3:19" s="242" customFormat="1" ht="16.5">
      <c r="C104" s="283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5"/>
    </row>
    <row r="105" spans="3:19" s="242" customFormat="1" ht="16.5">
      <c r="C105" s="283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5"/>
    </row>
    <row r="106" spans="3:19" s="242" customFormat="1" ht="16.5">
      <c r="C106" s="283"/>
      <c r="D106" s="284"/>
      <c r="E106" s="284"/>
      <c r="F106" s="284"/>
      <c r="G106" s="284"/>
      <c r="H106" s="284"/>
      <c r="I106" s="303" t="s">
        <v>304</v>
      </c>
      <c r="J106" s="284"/>
      <c r="K106" s="284"/>
      <c r="L106" s="284"/>
      <c r="M106" s="284"/>
      <c r="N106" s="284"/>
      <c r="O106" s="284"/>
      <c r="P106" s="284"/>
      <c r="Q106" s="284"/>
      <c r="R106" s="381" t="s">
        <v>322</v>
      </c>
      <c r="S106" s="285"/>
    </row>
    <row r="107" spans="3:19" s="242" customFormat="1" ht="16.5">
      <c r="C107" s="287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9"/>
    </row>
    <row r="108" spans="3:19" s="242" customFormat="1" ht="16.5"/>
    <row r="109" spans="3:19" s="242" customFormat="1" ht="16.5"/>
    <row r="110" spans="3:19" s="242" customFormat="1" ht="16.5"/>
    <row r="111" spans="3:19" s="242" customFormat="1" ht="16.5"/>
    <row r="112" spans="3:19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  <row r="193" s="242" customFormat="1" ht="16.5"/>
    <row r="194" s="242" customFormat="1" ht="16.5"/>
    <row r="195" s="242" customFormat="1" ht="16.5"/>
    <row r="196" s="242" customFormat="1" ht="16.5"/>
    <row r="197" s="242" customFormat="1" ht="16.5"/>
    <row r="198" s="242" customFormat="1" ht="16.5"/>
    <row r="199" s="242" customFormat="1" ht="16.5"/>
    <row r="200" s="242" customFormat="1" ht="16.5"/>
    <row r="201" s="242" customFormat="1" ht="16.5"/>
    <row r="202" s="242" customFormat="1" ht="16.5"/>
    <row r="203" s="242" customFormat="1" ht="16.5"/>
    <row r="204" s="242" customFormat="1" ht="16.5"/>
    <row r="205" s="242" customFormat="1" ht="16.5"/>
    <row r="206" s="242" customFormat="1" ht="16.5"/>
    <row r="207" s="242" customFormat="1" ht="16.5"/>
    <row r="208" s="242" customFormat="1" ht="16.5"/>
    <row r="209" s="242" customFormat="1" ht="16.5"/>
    <row r="210" s="242" customFormat="1" ht="16.5"/>
    <row r="211" s="242" customFormat="1" ht="16.5"/>
    <row r="212" s="242" customFormat="1" ht="16.5"/>
    <row r="213" s="242" customFormat="1" ht="16.5"/>
    <row r="214" s="242" customFormat="1" ht="16.5"/>
    <row r="215" s="242" customFormat="1" ht="16.5"/>
    <row r="216" s="242" customFormat="1" ht="16.5"/>
    <row r="217" s="242" customFormat="1" ht="16.5"/>
    <row r="218" s="242" customFormat="1" ht="16.5"/>
    <row r="219" s="242" customFormat="1" ht="16.5"/>
    <row r="220" s="242" customFormat="1" ht="16.5"/>
    <row r="221" s="242" customFormat="1" ht="16.5"/>
    <row r="222" s="242" customFormat="1" ht="16.5"/>
    <row r="223" s="242" customFormat="1" ht="16.5"/>
    <row r="224" s="242" customFormat="1" ht="16.5"/>
    <row r="225" s="242" customFormat="1" ht="16.5"/>
    <row r="226" s="242" customFormat="1" ht="16.5"/>
    <row r="227" s="242" customFormat="1" ht="16.5"/>
    <row r="228" s="242" customFormat="1" ht="16.5"/>
    <row r="229" s="242" customFormat="1" ht="16.5"/>
    <row r="230" s="242" customFormat="1" ht="16.5"/>
    <row r="231" s="242" customFormat="1" ht="16.5"/>
    <row r="232" s="242" customFormat="1" ht="16.5"/>
    <row r="233" s="242" customFormat="1" ht="16.5"/>
    <row r="234" s="242" customFormat="1" ht="16.5"/>
    <row r="235" s="242" customFormat="1" ht="16.5"/>
    <row r="236" s="242" customFormat="1" ht="16.5"/>
    <row r="237" s="242" customFormat="1" ht="16.5"/>
    <row r="238" s="242" customFormat="1" ht="16.5"/>
    <row r="239" s="242" customFormat="1" ht="16.5"/>
    <row r="240" s="242" customFormat="1" ht="16.5"/>
    <row r="241" s="242" customFormat="1" ht="16.5"/>
    <row r="242" s="242" customFormat="1" ht="16.5"/>
    <row r="243" s="242" customFormat="1" ht="16.5"/>
    <row r="244" s="242" customFormat="1" ht="16.5"/>
    <row r="245" s="242" customFormat="1" ht="16.5"/>
    <row r="246" s="242" customFormat="1" ht="16.5"/>
    <row r="247" s="242" customFormat="1" ht="16.5"/>
    <row r="248" s="242" customFormat="1" ht="16.5"/>
    <row r="249" s="242" customFormat="1" ht="16.5"/>
    <row r="250" s="242" customFormat="1" ht="16.5"/>
    <row r="251" s="242" customFormat="1" ht="16.5"/>
    <row r="252" s="242" customFormat="1" ht="16.5"/>
    <row r="253" s="242" customFormat="1" ht="16.5"/>
    <row r="254" s="242" customFormat="1" ht="16.5"/>
    <row r="255" s="242" customFormat="1" ht="16.5"/>
    <row r="256" s="242" customFormat="1" ht="16.5"/>
    <row r="257" s="242" customFormat="1" ht="16.5"/>
    <row r="258" s="242" customFormat="1" ht="16.5"/>
    <row r="259" s="242" customFormat="1" ht="16.5"/>
    <row r="260" s="242" customFormat="1" ht="16.5"/>
    <row r="261" s="242" customFormat="1" ht="16.5"/>
    <row r="262" s="242" customFormat="1" ht="16.5"/>
    <row r="263" s="242" customFormat="1" ht="16.5"/>
    <row r="264" s="242" customFormat="1" ht="16.5"/>
    <row r="265" s="242" customFormat="1" ht="16.5"/>
    <row r="266" s="242" customFormat="1" ht="16.5"/>
    <row r="267" s="242" customFormat="1" ht="16.5"/>
    <row r="268" s="242" customFormat="1" ht="16.5"/>
    <row r="269" s="242" customFormat="1" ht="16.5"/>
    <row r="270" s="242" customFormat="1" ht="16.5"/>
    <row r="271" s="242" customFormat="1" ht="16.5"/>
    <row r="272" s="242" customFormat="1" ht="16.5"/>
    <row r="273" s="242" customFormat="1" ht="16.5"/>
    <row r="274" s="242" customFormat="1" ht="16.5"/>
    <row r="275" s="242" customFormat="1" ht="16.5"/>
    <row r="276" s="242" customFormat="1" ht="16.5"/>
    <row r="277" s="242" customFormat="1" ht="16.5"/>
    <row r="278" s="242" customFormat="1" ht="16.5"/>
    <row r="279" s="242" customFormat="1" ht="16.5"/>
    <row r="280" s="242" customFormat="1" ht="16.5"/>
    <row r="281" s="242" customFormat="1" ht="16.5"/>
    <row r="282" s="242" customFormat="1" ht="16.5"/>
    <row r="283" s="242" customFormat="1" ht="16.5"/>
    <row r="284" s="242" customFormat="1" ht="16.5"/>
    <row r="285" s="242" customFormat="1" ht="16.5"/>
    <row r="286" s="242" customFormat="1" ht="16.5"/>
    <row r="287" s="242" customFormat="1" ht="16.5"/>
    <row r="288" s="242" customFormat="1" ht="16.5"/>
    <row r="289" s="242" customFormat="1" ht="16.5"/>
    <row r="290" s="242" customFormat="1" ht="16.5"/>
    <row r="291" s="242" customFormat="1" ht="16.5"/>
    <row r="292" s="242" customFormat="1" ht="16.5"/>
    <row r="293" s="242" customFormat="1" ht="16.5"/>
    <row r="294" s="242" customFormat="1" ht="16.5"/>
    <row r="295" s="242" customFormat="1" ht="16.5"/>
    <row r="296" s="242" customFormat="1" ht="16.5"/>
    <row r="297" s="242" customFormat="1" ht="16.5"/>
    <row r="298" s="242" customFormat="1" ht="16.5"/>
    <row r="299" s="242" customFormat="1" ht="16.5"/>
    <row r="300" s="242" customFormat="1" ht="16.5"/>
    <row r="301" s="242" customFormat="1" ht="16.5"/>
    <row r="302" s="242" customFormat="1" ht="16.5"/>
    <row r="303" s="242" customFormat="1" ht="16.5"/>
    <row r="304" s="242" customFormat="1" ht="16.5"/>
    <row r="305" s="242" customFormat="1" ht="16.5"/>
    <row r="306" s="242" customFormat="1" ht="16.5"/>
    <row r="307" s="242" customFormat="1" ht="16.5"/>
    <row r="308" s="242" customFormat="1" ht="16.5"/>
    <row r="309" s="242" customFormat="1" ht="16.5"/>
    <row r="310" s="242" customFormat="1" ht="16.5"/>
    <row r="311" s="243" customFormat="1" ht="12.75"/>
    <row r="312" s="243" customFormat="1" ht="12.75"/>
    <row r="313" s="243" customFormat="1" ht="12.75"/>
    <row r="314" s="243" customFormat="1" ht="12.75"/>
    <row r="315" s="243" customFormat="1" ht="12.75"/>
    <row r="316" s="243" customFormat="1" ht="12.75"/>
    <row r="317" s="243" customFormat="1" ht="12.75"/>
    <row r="318" s="243" customFormat="1" ht="12.75"/>
    <row r="319" s="243" customFormat="1" ht="12.75"/>
    <row r="320" s="243" customFormat="1" ht="12.75"/>
    <row r="321" s="243" customFormat="1" ht="12.75"/>
    <row r="322" s="243" customFormat="1" ht="12.75"/>
    <row r="323" s="243" customFormat="1" ht="12.75"/>
    <row r="324" s="243" customFormat="1" ht="12.75"/>
    <row r="325" s="243" customFormat="1" ht="12.75"/>
    <row r="326" s="243" customFormat="1" ht="12.75"/>
    <row r="327" s="243" customFormat="1" ht="12.75"/>
    <row r="328" s="243" customFormat="1" ht="12.75"/>
    <row r="329" s="243" customFormat="1" ht="12.75"/>
    <row r="330" s="243" customFormat="1" ht="12.75"/>
    <row r="331" s="243" customFormat="1" ht="12.75"/>
    <row r="332" s="243" customFormat="1" ht="12.75"/>
    <row r="333" s="243" customFormat="1" ht="12.75"/>
    <row r="334" s="243" customFormat="1" ht="12.75"/>
    <row r="335" s="243" customFormat="1" ht="12.75"/>
    <row r="336" s="243" customFormat="1" ht="12.75"/>
    <row r="337" s="243" customFormat="1" ht="12.75"/>
    <row r="338" s="243" customFormat="1" ht="12.75"/>
    <row r="339" s="243" customFormat="1" ht="12.75"/>
    <row r="340" s="243" customFormat="1" ht="12.75"/>
    <row r="341" s="243" customFormat="1" ht="12.75"/>
    <row r="342" s="243" customFormat="1" ht="12.75"/>
    <row r="343" s="243" customFormat="1" ht="12.75"/>
    <row r="344" s="243" customFormat="1" ht="12.75"/>
    <row r="345" s="243" customFormat="1" ht="12.75"/>
    <row r="346" s="243" customFormat="1" ht="12.75"/>
    <row r="347" s="243" customFormat="1" ht="12.75"/>
    <row r="348" s="243" customFormat="1" ht="12.75"/>
    <row r="349" s="243" customFormat="1" ht="12.75"/>
    <row r="350" s="243" customFormat="1" ht="12.75"/>
    <row r="351" s="243" customFormat="1" ht="12.75"/>
    <row r="352" s="243" customFormat="1" ht="12.75"/>
    <row r="353" s="243" customFormat="1" ht="12.75"/>
    <row r="354" s="243" customFormat="1" ht="12.75"/>
    <row r="355" s="243" customFormat="1" ht="12.75"/>
    <row r="356" s="243" customFormat="1" ht="12.75"/>
    <row r="357" s="243" customFormat="1" ht="12.75"/>
    <row r="358" s="243" customFormat="1" ht="12.75"/>
    <row r="359" s="243" customFormat="1" ht="12.75"/>
    <row r="360" s="243" customFormat="1" ht="12.75"/>
    <row r="361" s="243" customFormat="1" ht="12.75"/>
    <row r="362" s="243" customFormat="1" ht="12.75"/>
    <row r="363" s="243" customFormat="1" ht="12.75"/>
    <row r="364" s="242" customFormat="1" ht="16.5"/>
    <row r="365" s="242" customFormat="1" ht="16.5"/>
    <row r="366" s="242" customFormat="1" ht="16.5"/>
    <row r="367" s="242" customFormat="1" ht="16.5"/>
    <row r="368" s="242" customFormat="1" ht="16.5"/>
    <row r="369" s="242" customFormat="1" ht="16.5"/>
    <row r="370" s="242" customFormat="1" ht="16.5"/>
    <row r="371" s="242" customFormat="1" ht="16.5"/>
    <row r="372" s="242" customFormat="1" ht="16.5"/>
    <row r="373" s="28" customFormat="1"/>
    <row r="374" s="28" customFormat="1"/>
    <row r="375" s="28" customFormat="1"/>
    <row r="376" s="28" customFormat="1"/>
    <row r="377" s="28" customFormat="1"/>
    <row r="378" s="28" customFormat="1"/>
  </sheetData>
  <mergeCells count="19">
    <mergeCell ref="C18:D18"/>
    <mergeCell ref="I18:K18"/>
    <mergeCell ref="C19:D19"/>
    <mergeCell ref="C94:D94"/>
    <mergeCell ref="H94:O94"/>
    <mergeCell ref="C28:D28"/>
    <mergeCell ref="C20:D20"/>
    <mergeCell ref="C23:D23"/>
    <mergeCell ref="S15:S16"/>
    <mergeCell ref="C17:G17"/>
    <mergeCell ref="C1:S1"/>
    <mergeCell ref="C2:S2"/>
    <mergeCell ref="C3:S3"/>
    <mergeCell ref="L6:S6"/>
    <mergeCell ref="L8:S8"/>
    <mergeCell ref="P15:P16"/>
    <mergeCell ref="Q15:Q16"/>
    <mergeCell ref="C15:G16"/>
    <mergeCell ref="H15:O16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F0"/>
  </sheetPr>
  <dimension ref="A1:S231"/>
  <sheetViews>
    <sheetView topLeftCell="A4" zoomScaleSheetLayoutView="90" workbookViewId="0">
      <selection activeCell="P24" sqref="P24"/>
    </sheetView>
  </sheetViews>
  <sheetFormatPr defaultRowHeight="15"/>
  <cols>
    <col min="1" max="1" width="2" customWidth="1"/>
    <col min="2" max="2" width="0.7109375" customWidth="1"/>
    <col min="3" max="5" width="3.28515625" customWidth="1"/>
    <col min="6" max="6" width="1.28515625" customWidth="1"/>
    <col min="7" max="7" width="20.7109375" customWidth="1"/>
    <col min="8" max="8" width="1.5703125" hidden="1" customWidth="1"/>
    <col min="9" max="9" width="3" customWidth="1"/>
    <col min="10" max="10" width="4.5703125" customWidth="1"/>
    <col min="11" max="11" width="3" customWidth="1"/>
    <col min="12" max="13" width="4" customWidth="1"/>
    <col min="14" max="14" width="7.140625" customWidth="1"/>
    <col min="15" max="15" width="6.7109375" customWidth="1"/>
    <col min="16" max="16" width="14.140625" customWidth="1"/>
    <col min="17" max="17" width="16.42578125" customWidth="1"/>
    <col min="19" max="19" width="10.5703125" bestFit="1" customWidth="1"/>
    <col min="20" max="20" width="12.5703125" bestFit="1" customWidth="1"/>
  </cols>
  <sheetData>
    <row r="1" spans="1:19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9" s="242" customFormat="1" ht="18.75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9" s="242" customFormat="1" ht="18.75">
      <c r="A3" s="869" t="s">
        <v>211</v>
      </c>
      <c r="B3" s="870"/>
      <c r="C3" s="870"/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870"/>
      <c r="P3" s="870"/>
      <c r="Q3" s="871"/>
    </row>
    <row r="4" spans="1:19" s="242" customFormat="1" ht="16.5">
      <c r="A4" s="283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94"/>
    </row>
    <row r="5" spans="1:19" s="242" customFormat="1" ht="15" customHeight="1">
      <c r="A5" s="283" t="s">
        <v>7</v>
      </c>
      <c r="B5" s="295" t="s">
        <v>10</v>
      </c>
      <c r="C5" s="295"/>
      <c r="D5" s="295"/>
      <c r="E5" s="295"/>
      <c r="F5" s="295"/>
      <c r="G5" s="286"/>
      <c r="H5" s="286" t="s">
        <v>12</v>
      </c>
      <c r="I5" s="286" t="s">
        <v>12</v>
      </c>
      <c r="J5" s="851" t="s">
        <v>441</v>
      </c>
      <c r="K5" s="851"/>
      <c r="L5" s="851"/>
      <c r="M5" s="851"/>
      <c r="N5" s="851"/>
      <c r="O5" s="851"/>
      <c r="P5" s="851"/>
      <c r="Q5" s="852"/>
    </row>
    <row r="6" spans="1:19" s="242" customFormat="1" ht="15" customHeight="1">
      <c r="A6" s="283" t="s">
        <v>8</v>
      </c>
      <c r="B6" s="295" t="s">
        <v>11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295" t="s">
        <v>65</v>
      </c>
      <c r="K6" s="295"/>
      <c r="L6" s="295"/>
      <c r="M6" s="295"/>
      <c r="N6" s="295"/>
      <c r="O6" s="295"/>
      <c r="P6" s="295"/>
      <c r="Q6" s="296"/>
    </row>
    <row r="7" spans="1:19" s="242" customFormat="1" ht="15" customHeight="1">
      <c r="A7" s="283" t="s">
        <v>9</v>
      </c>
      <c r="B7" s="295" t="s">
        <v>22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851" t="s">
        <v>76</v>
      </c>
      <c r="K7" s="851"/>
      <c r="L7" s="851"/>
      <c r="M7" s="851"/>
      <c r="N7" s="851"/>
      <c r="O7" s="851"/>
      <c r="P7" s="851"/>
      <c r="Q7" s="852"/>
    </row>
    <row r="8" spans="1:19" s="242" customFormat="1" ht="15" customHeight="1">
      <c r="A8" s="297" t="s">
        <v>219</v>
      </c>
      <c r="B8" s="295" t="s">
        <v>216</v>
      </c>
      <c r="C8" s="295"/>
      <c r="D8" s="295"/>
      <c r="E8" s="295"/>
      <c r="F8" s="295"/>
      <c r="G8" s="286"/>
      <c r="H8" s="286"/>
      <c r="I8" s="286" t="s">
        <v>12</v>
      </c>
      <c r="J8" s="469" t="s">
        <v>480</v>
      </c>
      <c r="K8" s="469"/>
      <c r="L8" s="469"/>
      <c r="M8" s="469"/>
      <c r="N8" s="469"/>
      <c r="O8" s="469"/>
      <c r="P8" s="469"/>
      <c r="Q8" s="470"/>
    </row>
    <row r="9" spans="1:19" s="242" customFormat="1" ht="5.25" customHeight="1">
      <c r="A9" s="283"/>
      <c r="B9" s="295"/>
      <c r="C9" s="295"/>
      <c r="D9" s="295"/>
      <c r="E9" s="295"/>
      <c r="F9" s="295"/>
      <c r="G9" s="286"/>
      <c r="H9" s="286"/>
      <c r="I9" s="286"/>
      <c r="J9" s="469"/>
      <c r="K9" s="469"/>
      <c r="L9" s="469"/>
      <c r="M9" s="469"/>
      <c r="N9" s="469"/>
      <c r="O9" s="469"/>
      <c r="P9" s="469"/>
      <c r="Q9" s="470"/>
    </row>
    <row r="10" spans="1:19" s="243" customFormat="1" ht="12.75">
      <c r="A10" s="394" t="s">
        <v>218</v>
      </c>
      <c r="B10" s="395"/>
      <c r="C10" s="395"/>
      <c r="D10" s="395"/>
      <c r="E10" s="395"/>
      <c r="F10" s="395"/>
      <c r="G10" s="396" t="s">
        <v>12</v>
      </c>
      <c r="H10" s="382"/>
      <c r="I10" s="382"/>
      <c r="J10" s="397"/>
      <c r="K10" s="397"/>
      <c r="L10" s="397"/>
      <c r="M10" s="397"/>
      <c r="N10" s="397"/>
      <c r="O10" s="397"/>
      <c r="P10" s="397"/>
      <c r="Q10" s="398"/>
    </row>
    <row r="11" spans="1:19" s="242" customFormat="1" ht="5.25" customHeight="1">
      <c r="A11" s="283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5"/>
    </row>
    <row r="12" spans="1:19" s="243" customFormat="1" ht="12.75">
      <c r="A12" s="775" t="s">
        <v>0</v>
      </c>
      <c r="B12" s="776"/>
      <c r="C12" s="776"/>
      <c r="D12" s="776"/>
      <c r="E12" s="777"/>
      <c r="F12" s="775" t="s">
        <v>1</v>
      </c>
      <c r="G12" s="776"/>
      <c r="H12" s="776"/>
      <c r="I12" s="776"/>
      <c r="J12" s="776"/>
      <c r="K12" s="776"/>
      <c r="L12" s="776"/>
      <c r="M12" s="777"/>
      <c r="N12" s="780" t="s">
        <v>2</v>
      </c>
      <c r="O12" s="780" t="s">
        <v>47</v>
      </c>
      <c r="P12" s="479" t="s">
        <v>4</v>
      </c>
      <c r="Q12" s="780" t="s">
        <v>3</v>
      </c>
    </row>
    <row r="13" spans="1:19" s="243" customFormat="1" ht="12.75">
      <c r="A13" s="863"/>
      <c r="B13" s="778"/>
      <c r="C13" s="778"/>
      <c r="D13" s="778"/>
      <c r="E13" s="779"/>
      <c r="F13" s="863"/>
      <c r="G13" s="778"/>
      <c r="H13" s="778"/>
      <c r="I13" s="778"/>
      <c r="J13" s="778"/>
      <c r="K13" s="778"/>
      <c r="L13" s="778"/>
      <c r="M13" s="779"/>
      <c r="N13" s="781"/>
      <c r="O13" s="781"/>
      <c r="P13" s="480" t="s">
        <v>5</v>
      </c>
      <c r="Q13" s="781"/>
    </row>
    <row r="14" spans="1:19" s="237" customFormat="1" ht="13.5">
      <c r="A14" s="864">
        <v>1</v>
      </c>
      <c r="B14" s="865"/>
      <c r="C14" s="865"/>
      <c r="D14" s="865"/>
      <c r="E14" s="866"/>
      <c r="F14" s="476"/>
      <c r="G14" s="477">
        <v>2</v>
      </c>
      <c r="H14" s="477"/>
      <c r="I14" s="477"/>
      <c r="J14" s="477"/>
      <c r="K14" s="477"/>
      <c r="L14" s="477"/>
      <c r="M14" s="478"/>
      <c r="N14" s="239">
        <v>3</v>
      </c>
      <c r="O14" s="239"/>
      <c r="P14" s="239">
        <v>4</v>
      </c>
      <c r="Q14" s="239">
        <v>5</v>
      </c>
    </row>
    <row r="15" spans="1:19" s="383" customFormat="1" ht="16.5" customHeight="1">
      <c r="A15" s="879">
        <v>2</v>
      </c>
      <c r="B15" s="880"/>
      <c r="C15" s="492">
        <v>3</v>
      </c>
      <c r="D15" s="492">
        <v>1</v>
      </c>
      <c r="E15" s="492">
        <v>2</v>
      </c>
      <c r="F15" s="432" t="s">
        <v>14</v>
      </c>
      <c r="G15" s="474" t="s">
        <v>48</v>
      </c>
      <c r="H15" s="379"/>
      <c r="I15" s="379"/>
      <c r="J15" s="379"/>
      <c r="K15" s="379"/>
      <c r="L15" s="379"/>
      <c r="M15" s="433"/>
      <c r="N15" s="256"/>
      <c r="O15" s="256"/>
      <c r="P15" s="256"/>
      <c r="Q15" s="308">
        <f>Q21</f>
        <v>7680000</v>
      </c>
    </row>
    <row r="16" spans="1:19" s="242" customFormat="1" ht="16.5" customHeight="1">
      <c r="A16" s="875"/>
      <c r="B16" s="875"/>
      <c r="C16" s="491"/>
      <c r="D16" s="491"/>
      <c r="E16" s="491"/>
      <c r="F16" s="489"/>
      <c r="G16" s="898" t="s">
        <v>199</v>
      </c>
      <c r="H16" s="898"/>
      <c r="I16" s="898"/>
      <c r="J16" s="898"/>
      <c r="K16" s="898"/>
      <c r="L16" s="898"/>
      <c r="M16" s="899"/>
      <c r="N16" s="491"/>
      <c r="O16" s="491"/>
      <c r="P16" s="267"/>
      <c r="Q16" s="320">
        <f>Q17+Q18</f>
        <v>7680000</v>
      </c>
      <c r="S16" s="311"/>
    </row>
    <row r="17" spans="1:19" s="242" customFormat="1" ht="16.5" customHeight="1">
      <c r="A17" s="875"/>
      <c r="B17" s="875"/>
      <c r="C17" s="491"/>
      <c r="D17" s="491"/>
      <c r="E17" s="491"/>
      <c r="F17" s="489"/>
      <c r="G17" s="260" t="s">
        <v>49</v>
      </c>
      <c r="H17" s="260"/>
      <c r="I17" s="265">
        <v>4</v>
      </c>
      <c r="J17" s="265" t="s">
        <v>17</v>
      </c>
      <c r="K17" s="265" t="s">
        <v>20</v>
      </c>
      <c r="L17" s="265">
        <v>12</v>
      </c>
      <c r="M17" s="490" t="s">
        <v>39</v>
      </c>
      <c r="N17" s="491">
        <f>I17*L17</f>
        <v>48</v>
      </c>
      <c r="O17" s="491" t="s">
        <v>43</v>
      </c>
      <c r="P17" s="267">
        <v>60000</v>
      </c>
      <c r="Q17" s="267">
        <f>N17*P17</f>
        <v>2880000</v>
      </c>
      <c r="S17" s="311"/>
    </row>
    <row r="18" spans="1:19" s="242" customFormat="1" ht="16.5" customHeight="1">
      <c r="A18" s="875"/>
      <c r="B18" s="875"/>
      <c r="C18" s="491"/>
      <c r="D18" s="491"/>
      <c r="E18" s="491"/>
      <c r="F18" s="489"/>
      <c r="G18" s="260" t="s">
        <v>50</v>
      </c>
      <c r="H18" s="260"/>
      <c r="I18" s="265">
        <v>8</v>
      </c>
      <c r="J18" s="265" t="s">
        <v>17</v>
      </c>
      <c r="K18" s="265" t="s">
        <v>20</v>
      </c>
      <c r="L18" s="265">
        <v>12</v>
      </c>
      <c r="M18" s="490" t="s">
        <v>39</v>
      </c>
      <c r="N18" s="491">
        <f>I18*L18</f>
        <v>96</v>
      </c>
      <c r="O18" s="491" t="s">
        <v>43</v>
      </c>
      <c r="P18" s="267">
        <v>50000</v>
      </c>
      <c r="Q18" s="267">
        <f>N18*P18</f>
        <v>4800000</v>
      </c>
    </row>
    <row r="19" spans="1:19" s="242" customFormat="1" ht="16.5" customHeight="1">
      <c r="A19" s="326"/>
      <c r="B19" s="331"/>
      <c r="C19" s="335"/>
      <c r="D19" s="335"/>
      <c r="E19" s="335"/>
      <c r="F19" s="334"/>
      <c r="G19" s="337"/>
      <c r="H19" s="337"/>
      <c r="I19" s="338"/>
      <c r="J19" s="338"/>
      <c r="K19" s="338"/>
      <c r="L19" s="338"/>
      <c r="M19" s="339"/>
      <c r="N19" s="335"/>
      <c r="O19" s="335"/>
      <c r="P19" s="340"/>
      <c r="Q19" s="340"/>
    </row>
    <row r="20" spans="1:19" s="242" customFormat="1" ht="16.5" customHeight="1">
      <c r="A20" s="566"/>
      <c r="B20" s="567"/>
      <c r="C20" s="335"/>
      <c r="D20" s="335"/>
      <c r="E20" s="335"/>
      <c r="F20" s="334"/>
      <c r="G20" s="337"/>
      <c r="H20" s="337"/>
      <c r="I20" s="338"/>
      <c r="J20" s="338"/>
      <c r="K20" s="338"/>
      <c r="L20" s="338"/>
      <c r="M20" s="339"/>
      <c r="N20" s="335"/>
      <c r="O20" s="335"/>
      <c r="P20" s="340"/>
      <c r="Q20" s="340"/>
    </row>
    <row r="21" spans="1:19" s="242" customFormat="1" ht="16.5" customHeight="1">
      <c r="A21" s="872"/>
      <c r="B21" s="872"/>
      <c r="C21" s="488"/>
      <c r="D21" s="488"/>
      <c r="E21" s="488"/>
      <c r="F21" s="848" t="s">
        <v>163</v>
      </c>
      <c r="G21" s="849"/>
      <c r="H21" s="849"/>
      <c r="I21" s="849"/>
      <c r="J21" s="849"/>
      <c r="K21" s="849"/>
      <c r="L21" s="849"/>
      <c r="M21" s="850"/>
      <c r="N21" s="449"/>
      <c r="O21" s="449"/>
      <c r="P21" s="449"/>
      <c r="Q21" s="350">
        <f>SUM(Q16)</f>
        <v>7680000</v>
      </c>
    </row>
    <row r="22" spans="1:19" s="242" customFormat="1" ht="16.5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5"/>
    </row>
    <row r="23" spans="1:19" s="242" customFormat="1" ht="16.5">
      <c r="A23" s="283"/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5"/>
    </row>
    <row r="24" spans="1:19" s="242" customFormat="1" ht="16.5">
      <c r="A24" s="283"/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5"/>
    </row>
    <row r="25" spans="1:19" s="242" customFormat="1" ht="16.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 t="s">
        <v>560</v>
      </c>
      <c r="Q25" s="285"/>
    </row>
    <row r="26" spans="1:19" s="242" customFormat="1" ht="16.5">
      <c r="A26" s="283"/>
      <c r="B26" s="284"/>
      <c r="C26" s="284"/>
      <c r="D26" s="284"/>
      <c r="E26" s="284"/>
      <c r="F26" s="284"/>
      <c r="G26" s="286" t="s">
        <v>168</v>
      </c>
      <c r="H26" s="284"/>
      <c r="I26" s="284"/>
      <c r="J26" s="284"/>
      <c r="K26" s="284"/>
      <c r="L26" s="284"/>
      <c r="M26" s="284"/>
      <c r="N26" s="284"/>
      <c r="O26" s="284"/>
      <c r="P26" s="469" t="s">
        <v>193</v>
      </c>
      <c r="Q26" s="285"/>
    </row>
    <row r="27" spans="1:19" s="242" customFormat="1" ht="16.5">
      <c r="A27" s="283"/>
      <c r="B27" s="284"/>
      <c r="C27" s="284"/>
      <c r="D27" s="284"/>
      <c r="E27" s="284"/>
      <c r="F27" s="284"/>
      <c r="G27" s="286" t="s">
        <v>298</v>
      </c>
      <c r="H27" s="284"/>
      <c r="I27" s="284"/>
      <c r="J27" s="284"/>
      <c r="K27" s="284"/>
      <c r="L27" s="284"/>
      <c r="M27" s="284"/>
      <c r="N27" s="284"/>
      <c r="O27" s="284"/>
      <c r="P27" s="284"/>
      <c r="Q27" s="285"/>
    </row>
    <row r="28" spans="1:19" s="242" customFormat="1" ht="16.5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5"/>
    </row>
    <row r="29" spans="1:19" s="242" customFormat="1" ht="16.5">
      <c r="A29" s="283"/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5"/>
    </row>
    <row r="30" spans="1:19" s="242" customFormat="1" ht="16.5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5"/>
    </row>
    <row r="31" spans="1:19" s="242" customFormat="1" ht="16.5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5"/>
    </row>
    <row r="32" spans="1:19" s="242" customFormat="1" ht="16.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/>
    </row>
    <row r="33" spans="1:17" s="242" customFormat="1" ht="16.5">
      <c r="A33" s="283"/>
      <c r="B33" s="284"/>
      <c r="C33" s="284"/>
      <c r="D33" s="284"/>
      <c r="E33" s="284"/>
      <c r="F33" s="284"/>
      <c r="G33" s="303" t="s">
        <v>304</v>
      </c>
      <c r="H33" s="284"/>
      <c r="I33" s="284"/>
      <c r="J33" s="284"/>
      <c r="K33" s="284"/>
      <c r="L33" s="284"/>
      <c r="M33" s="284"/>
      <c r="N33" s="284"/>
      <c r="O33" s="284"/>
      <c r="P33" s="303" t="s">
        <v>305</v>
      </c>
      <c r="Q33" s="285"/>
    </row>
    <row r="34" spans="1:17" s="242" customFormat="1" ht="16.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9"/>
    </row>
    <row r="35" spans="1:17" s="242" customFormat="1" ht="16.5"/>
    <row r="36" spans="1:17" s="242" customFormat="1" ht="16.5"/>
    <row r="37" spans="1:17" s="242" customFormat="1" ht="16.5"/>
    <row r="38" spans="1:17" s="242" customFormat="1" ht="16.5"/>
    <row r="39" spans="1:17" s="242" customFormat="1" ht="16.5"/>
    <row r="40" spans="1:17" s="242" customFormat="1" ht="16.5"/>
    <row r="41" spans="1:17" s="242" customFormat="1" ht="16.5"/>
    <row r="42" spans="1:17" s="242" customFormat="1" ht="16.5"/>
    <row r="43" spans="1:17" s="242" customFormat="1" ht="16.5"/>
    <row r="44" spans="1:17" s="242" customFormat="1" ht="16.5"/>
    <row r="45" spans="1:17" s="242" customFormat="1" ht="16.5"/>
    <row r="46" spans="1:17" s="242" customFormat="1" ht="16.5"/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8" customFormat="1"/>
    <row r="173" s="28" customFormat="1"/>
    <row r="174" s="28" customFormat="1"/>
    <row r="175" s="28" customFormat="1"/>
    <row r="176" s="28" customFormat="1"/>
    <row r="177" s="28" customFormat="1"/>
    <row r="178" s="28" customFormat="1"/>
    <row r="179" s="28" customFormat="1"/>
    <row r="180" s="28" customFormat="1"/>
    <row r="181" s="28" customFormat="1"/>
    <row r="182" s="28" customFormat="1"/>
    <row r="183" s="28" customFormat="1"/>
    <row r="184" s="28" customFormat="1"/>
    <row r="185" s="28" customFormat="1"/>
    <row r="186" s="28" customFormat="1"/>
    <row r="187" s="28" customFormat="1"/>
    <row r="188" s="28" customFormat="1"/>
    <row r="189" s="28" customFormat="1"/>
    <row r="190" s="28" customFormat="1"/>
    <row r="191" s="28" customFormat="1"/>
    <row r="192" s="28" customFormat="1"/>
    <row r="193" s="28" customFormat="1"/>
    <row r="194" s="28" customFormat="1"/>
    <row r="195" s="28" customFormat="1"/>
    <row r="196" s="28" customFormat="1"/>
    <row r="197" s="28" customFormat="1"/>
    <row r="198" s="28" customFormat="1"/>
    <row r="199" s="28" customFormat="1"/>
    <row r="200" s="28" customFormat="1"/>
    <row r="201" s="28" customFormat="1"/>
    <row r="202" s="28" customFormat="1"/>
    <row r="203" s="28" customFormat="1"/>
    <row r="204" s="28" customFormat="1"/>
    <row r="205" s="28" customFormat="1"/>
    <row r="206" s="28" customFormat="1"/>
    <row r="207" s="28" customFormat="1"/>
    <row r="208" s="28" customFormat="1"/>
    <row r="209" s="28" customFormat="1"/>
    <row r="210" s="28" customFormat="1"/>
    <row r="211" s="28" customFormat="1"/>
    <row r="212" s="28" customFormat="1"/>
    <row r="213" s="28" customFormat="1"/>
    <row r="214" s="28" customFormat="1"/>
    <row r="215" s="28" customFormat="1"/>
    <row r="216" s="28" customFormat="1"/>
    <row r="217" s="28" customFormat="1"/>
    <row r="218" s="28" customFormat="1"/>
    <row r="219" s="28" customFormat="1"/>
    <row r="220" s="28" customFormat="1"/>
    <row r="221" s="28" customFormat="1"/>
    <row r="222" s="28" customFormat="1"/>
    <row r="223" s="28" customFormat="1"/>
    <row r="224" s="28" customFormat="1"/>
    <row r="225" s="28" customFormat="1"/>
    <row r="226" s="28" customFormat="1"/>
    <row r="227" s="28" customFormat="1"/>
    <row r="228" s="28" customFormat="1"/>
    <row r="229" s="28" customFormat="1"/>
    <row r="230" s="28" customFormat="1"/>
    <row r="231" s="28" customFormat="1"/>
  </sheetData>
  <mergeCells count="18">
    <mergeCell ref="F21:M21"/>
    <mergeCell ref="N12:N13"/>
    <mergeCell ref="O12:O13"/>
    <mergeCell ref="Q12:Q13"/>
    <mergeCell ref="A21:B21"/>
    <mergeCell ref="A15:B15"/>
    <mergeCell ref="A16:B16"/>
    <mergeCell ref="A17:B17"/>
    <mergeCell ref="A18:B18"/>
    <mergeCell ref="A12:E13"/>
    <mergeCell ref="A14:E14"/>
    <mergeCell ref="F12:M13"/>
    <mergeCell ref="G16:M16"/>
    <mergeCell ref="J7:Q7"/>
    <mergeCell ref="A1:Q1"/>
    <mergeCell ref="A2:Q2"/>
    <mergeCell ref="A3:Q3"/>
    <mergeCell ref="J5:Q5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S272"/>
  <sheetViews>
    <sheetView zoomScaleSheetLayoutView="100" workbookViewId="0">
      <selection sqref="A1:Q1"/>
    </sheetView>
  </sheetViews>
  <sheetFormatPr defaultRowHeight="15"/>
  <cols>
    <col min="1" max="1" width="2" customWidth="1"/>
    <col min="2" max="2" width="0.85546875" customWidth="1"/>
    <col min="3" max="5" width="2.5703125" customWidth="1"/>
    <col min="6" max="6" width="2" customWidth="1"/>
    <col min="7" max="7" width="22.42578125" customWidth="1"/>
    <col min="8" max="8" width="1.5703125" hidden="1" customWidth="1"/>
    <col min="9" max="9" width="2.7109375" customWidth="1"/>
    <col min="10" max="10" width="4.28515625" customWidth="1"/>
    <col min="11" max="11" width="3.140625" customWidth="1"/>
    <col min="12" max="12" width="2.85546875" customWidth="1"/>
    <col min="13" max="13" width="4.42578125" customWidth="1"/>
    <col min="14" max="14" width="7.140625" customWidth="1"/>
    <col min="15" max="15" width="7" customWidth="1"/>
    <col min="16" max="16" width="12.7109375" customWidth="1"/>
    <col min="17" max="17" width="18" customWidth="1"/>
    <col min="19" max="19" width="10.5703125" bestFit="1" customWidth="1"/>
    <col min="20" max="20" width="10" bestFit="1" customWidth="1"/>
  </cols>
  <sheetData>
    <row r="1" spans="1:19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9" s="242" customFormat="1" ht="18.75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9" s="242" customFormat="1" ht="18.75">
      <c r="A3" s="869" t="s">
        <v>211</v>
      </c>
      <c r="B3" s="870"/>
      <c r="C3" s="870"/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870"/>
      <c r="P3" s="870"/>
      <c r="Q3" s="871"/>
    </row>
    <row r="4" spans="1:19" s="243" customFormat="1" ht="12.75">
      <c r="A4" s="370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8"/>
    </row>
    <row r="5" spans="1:19" s="242" customFormat="1" ht="15" customHeight="1">
      <c r="A5" s="283" t="s">
        <v>7</v>
      </c>
      <c r="B5" s="295" t="s">
        <v>10</v>
      </c>
      <c r="C5" s="295"/>
      <c r="D5" s="295"/>
      <c r="E5" s="295"/>
      <c r="F5" s="295"/>
      <c r="G5" s="286"/>
      <c r="H5" s="286" t="s">
        <v>12</v>
      </c>
      <c r="I5" s="286" t="s">
        <v>12</v>
      </c>
      <c r="J5" s="851" t="s">
        <v>64</v>
      </c>
      <c r="K5" s="851"/>
      <c r="L5" s="851"/>
      <c r="M5" s="851"/>
      <c r="N5" s="851"/>
      <c r="O5" s="851"/>
      <c r="P5" s="851"/>
      <c r="Q5" s="852"/>
    </row>
    <row r="6" spans="1:19" s="242" customFormat="1" ht="15" customHeight="1">
      <c r="A6" s="283" t="s">
        <v>8</v>
      </c>
      <c r="B6" s="295" t="s">
        <v>11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295" t="s">
        <v>278</v>
      </c>
      <c r="K6" s="295"/>
      <c r="L6" s="295"/>
      <c r="M6" s="295"/>
      <c r="N6" s="295"/>
      <c r="O6" s="295"/>
      <c r="P6" s="295"/>
      <c r="Q6" s="296"/>
    </row>
    <row r="7" spans="1:19" s="242" customFormat="1" ht="15" customHeight="1">
      <c r="A7" s="283" t="s">
        <v>9</v>
      </c>
      <c r="B7" s="295" t="s">
        <v>22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851" t="s">
        <v>76</v>
      </c>
      <c r="K7" s="851"/>
      <c r="L7" s="851"/>
      <c r="M7" s="851"/>
      <c r="N7" s="851"/>
      <c r="O7" s="851"/>
      <c r="P7" s="851"/>
      <c r="Q7" s="852"/>
    </row>
    <row r="8" spans="1:19" s="242" customFormat="1" ht="15" customHeight="1">
      <c r="A8" s="297" t="s">
        <v>219</v>
      </c>
      <c r="B8" s="295" t="s">
        <v>216</v>
      </c>
      <c r="C8" s="295"/>
      <c r="D8" s="295"/>
      <c r="E8" s="295"/>
      <c r="F8" s="295"/>
      <c r="G8" s="286"/>
      <c r="H8" s="286"/>
      <c r="I8" s="286" t="s">
        <v>12</v>
      </c>
      <c r="J8" s="469" t="s">
        <v>288</v>
      </c>
      <c r="K8" s="469"/>
      <c r="L8" s="469"/>
      <c r="M8" s="469"/>
      <c r="N8" s="469"/>
      <c r="O8" s="469"/>
      <c r="P8" s="469"/>
      <c r="Q8" s="470"/>
    </row>
    <row r="9" spans="1:19" s="242" customFormat="1" ht="5.25" customHeight="1">
      <c r="A9" s="297"/>
      <c r="B9" s="295"/>
      <c r="C9" s="295"/>
      <c r="D9" s="295"/>
      <c r="E9" s="295"/>
      <c r="F9" s="295"/>
      <c r="G9" s="286"/>
      <c r="H9" s="286"/>
      <c r="I9" s="286"/>
      <c r="J9" s="469"/>
      <c r="K9" s="469"/>
      <c r="L9" s="469"/>
      <c r="M9" s="469"/>
      <c r="N9" s="469"/>
      <c r="O9" s="469"/>
      <c r="P9" s="469"/>
      <c r="Q9" s="470"/>
    </row>
    <row r="10" spans="1:19" s="243" customFormat="1" ht="12.75">
      <c r="A10" s="394" t="s">
        <v>221</v>
      </c>
      <c r="B10" s="430"/>
      <c r="C10" s="430"/>
      <c r="D10" s="430"/>
      <c r="E10" s="430"/>
      <c r="F10" s="395"/>
      <c r="G10" s="382"/>
      <c r="H10" s="382"/>
      <c r="I10" s="382"/>
      <c r="J10" s="397"/>
      <c r="K10" s="397"/>
      <c r="L10" s="397"/>
      <c r="M10" s="397"/>
      <c r="N10" s="397"/>
      <c r="O10" s="397"/>
      <c r="P10" s="397"/>
      <c r="Q10" s="398"/>
    </row>
    <row r="11" spans="1:19" s="242" customFormat="1" ht="4.5" customHeight="1">
      <c r="A11" s="283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5"/>
    </row>
    <row r="12" spans="1:19" s="243" customFormat="1" ht="12.75">
      <c r="A12" s="775" t="s">
        <v>0</v>
      </c>
      <c r="B12" s="776"/>
      <c r="C12" s="776"/>
      <c r="D12" s="776"/>
      <c r="E12" s="777"/>
      <c r="F12" s="775" t="s">
        <v>1</v>
      </c>
      <c r="G12" s="776"/>
      <c r="H12" s="776"/>
      <c r="I12" s="776"/>
      <c r="J12" s="776"/>
      <c r="K12" s="776"/>
      <c r="L12" s="776"/>
      <c r="M12" s="777"/>
      <c r="N12" s="780" t="s">
        <v>2</v>
      </c>
      <c r="O12" s="780" t="s">
        <v>47</v>
      </c>
      <c r="P12" s="479" t="s">
        <v>4</v>
      </c>
      <c r="Q12" s="780" t="s">
        <v>3</v>
      </c>
    </row>
    <row r="13" spans="1:19" s="243" customFormat="1" ht="12.75">
      <c r="A13" s="863"/>
      <c r="B13" s="778"/>
      <c r="C13" s="778"/>
      <c r="D13" s="778"/>
      <c r="E13" s="779"/>
      <c r="F13" s="863"/>
      <c r="G13" s="778"/>
      <c r="H13" s="778"/>
      <c r="I13" s="778"/>
      <c r="J13" s="778"/>
      <c r="K13" s="778"/>
      <c r="L13" s="778"/>
      <c r="M13" s="779"/>
      <c r="N13" s="781"/>
      <c r="O13" s="781"/>
      <c r="P13" s="480" t="s">
        <v>5</v>
      </c>
      <c r="Q13" s="781"/>
    </row>
    <row r="14" spans="1:19" s="237" customFormat="1" ht="13.5">
      <c r="A14" s="864">
        <v>1</v>
      </c>
      <c r="B14" s="865"/>
      <c r="C14" s="865"/>
      <c r="D14" s="865"/>
      <c r="E14" s="866"/>
      <c r="F14" s="476"/>
      <c r="G14" s="477">
        <v>2</v>
      </c>
      <c r="H14" s="477"/>
      <c r="I14" s="477"/>
      <c r="J14" s="477"/>
      <c r="K14" s="477"/>
      <c r="L14" s="477"/>
      <c r="M14" s="478"/>
      <c r="N14" s="239">
        <v>3</v>
      </c>
      <c r="O14" s="239"/>
      <c r="P14" s="239">
        <v>4</v>
      </c>
      <c r="Q14" s="239">
        <v>5</v>
      </c>
    </row>
    <row r="15" spans="1:19" s="383" customFormat="1" ht="15" customHeight="1">
      <c r="A15" s="876">
        <v>2</v>
      </c>
      <c r="B15" s="876"/>
      <c r="C15" s="492">
        <v>3</v>
      </c>
      <c r="D15" s="492">
        <v>2</v>
      </c>
      <c r="E15" s="492">
        <v>2</v>
      </c>
      <c r="F15" s="432" t="s">
        <v>14</v>
      </c>
      <c r="G15" s="862" t="s">
        <v>48</v>
      </c>
      <c r="H15" s="862"/>
      <c r="I15" s="862"/>
      <c r="J15" s="862"/>
      <c r="K15" s="862"/>
      <c r="L15" s="862"/>
      <c r="M15" s="901"/>
      <c r="N15" s="256"/>
      <c r="O15" s="256"/>
      <c r="P15" s="256"/>
      <c r="Q15" s="308">
        <f>Q16+Q22+Q31</f>
        <v>2663000</v>
      </c>
    </row>
    <row r="16" spans="1:19" s="383" customFormat="1" ht="15" customHeight="1">
      <c r="A16" s="875"/>
      <c r="B16" s="875"/>
      <c r="C16" s="491"/>
      <c r="D16" s="491"/>
      <c r="E16" s="491"/>
      <c r="F16" s="489"/>
      <c r="G16" s="261" t="s">
        <v>452</v>
      </c>
      <c r="H16" s="260"/>
      <c r="I16" s="265"/>
      <c r="J16" s="265"/>
      <c r="K16" s="265"/>
      <c r="L16" s="265"/>
      <c r="M16" s="490"/>
      <c r="N16" s="491"/>
      <c r="O16" s="491"/>
      <c r="P16" s="267"/>
      <c r="Q16" s="320">
        <f>SUM(Q17:Q20)</f>
        <v>263000</v>
      </c>
      <c r="S16" s="568"/>
    </row>
    <row r="17" spans="1:19" s="383" customFormat="1" ht="15" customHeight="1">
      <c r="A17" s="875"/>
      <c r="B17" s="875"/>
      <c r="C17" s="491"/>
      <c r="D17" s="491"/>
      <c r="E17" s="491"/>
      <c r="F17" s="489"/>
      <c r="G17" s="260" t="s">
        <v>453</v>
      </c>
      <c r="H17" s="260"/>
      <c r="I17" s="265"/>
      <c r="J17" s="265"/>
      <c r="K17" s="265"/>
      <c r="L17" s="265"/>
      <c r="M17" s="490"/>
      <c r="N17" s="491">
        <v>2</v>
      </c>
      <c r="O17" s="491" t="s">
        <v>191</v>
      </c>
      <c r="P17" s="267">
        <v>49000</v>
      </c>
      <c r="Q17" s="267">
        <f>N17*P17</f>
        <v>98000</v>
      </c>
      <c r="S17" s="568"/>
    </row>
    <row r="18" spans="1:19" s="383" customFormat="1" ht="15" customHeight="1">
      <c r="A18" s="875"/>
      <c r="B18" s="875"/>
      <c r="C18" s="491"/>
      <c r="D18" s="491"/>
      <c r="E18" s="491"/>
      <c r="F18" s="489"/>
      <c r="G18" s="260" t="s">
        <v>454</v>
      </c>
      <c r="H18" s="260"/>
      <c r="I18" s="265"/>
      <c r="J18" s="265"/>
      <c r="K18" s="265"/>
      <c r="L18" s="265"/>
      <c r="M18" s="490"/>
      <c r="N18" s="491">
        <v>1</v>
      </c>
      <c r="O18" s="491" t="s">
        <v>53</v>
      </c>
      <c r="P18" s="267">
        <v>15000</v>
      </c>
      <c r="Q18" s="267">
        <f>N18*P18</f>
        <v>15000</v>
      </c>
    </row>
    <row r="19" spans="1:19" s="383" customFormat="1" ht="15" customHeight="1">
      <c r="A19" s="875"/>
      <c r="B19" s="875"/>
      <c r="C19" s="491"/>
      <c r="D19" s="491"/>
      <c r="E19" s="491"/>
      <c r="F19" s="489"/>
      <c r="G19" s="260" t="s">
        <v>309</v>
      </c>
      <c r="H19" s="260"/>
      <c r="I19" s="265"/>
      <c r="J19" s="265"/>
      <c r="K19" s="265"/>
      <c r="L19" s="265"/>
      <c r="M19" s="490"/>
      <c r="N19" s="491">
        <v>6</v>
      </c>
      <c r="O19" s="491" t="s">
        <v>176</v>
      </c>
      <c r="P19" s="267">
        <v>20000</v>
      </c>
      <c r="Q19" s="267">
        <f>N19*P19</f>
        <v>120000</v>
      </c>
    </row>
    <row r="20" spans="1:19" s="383" customFormat="1" ht="15" customHeight="1">
      <c r="A20" s="489"/>
      <c r="B20" s="490"/>
      <c r="C20" s="491"/>
      <c r="D20" s="491"/>
      <c r="E20" s="491"/>
      <c r="F20" s="489"/>
      <c r="G20" s="260" t="s">
        <v>32</v>
      </c>
      <c r="H20" s="260"/>
      <c r="I20" s="265"/>
      <c r="J20" s="265"/>
      <c r="K20" s="265"/>
      <c r="L20" s="265"/>
      <c r="M20" s="490"/>
      <c r="N20" s="491">
        <v>2</v>
      </c>
      <c r="O20" s="491" t="s">
        <v>53</v>
      </c>
      <c r="P20" s="267">
        <v>15000</v>
      </c>
      <c r="Q20" s="267">
        <f>N20*P20</f>
        <v>30000</v>
      </c>
    </row>
    <row r="21" spans="1:19" s="383" customFormat="1" ht="15" customHeight="1">
      <c r="A21" s="489"/>
      <c r="B21" s="490"/>
      <c r="C21" s="491"/>
      <c r="D21" s="491"/>
      <c r="E21" s="491"/>
      <c r="F21" s="489"/>
      <c r="G21" s="260"/>
      <c r="H21" s="260"/>
      <c r="I21" s="265"/>
      <c r="J21" s="265"/>
      <c r="K21" s="265"/>
      <c r="L21" s="265"/>
      <c r="M21" s="490"/>
      <c r="N21" s="491"/>
      <c r="O21" s="491"/>
      <c r="P21" s="267"/>
      <c r="Q21" s="267"/>
    </row>
    <row r="22" spans="1:19" s="383" customFormat="1" ht="15" customHeight="1">
      <c r="A22" s="489"/>
      <c r="B22" s="490"/>
      <c r="C22" s="491"/>
      <c r="D22" s="491"/>
      <c r="E22" s="491"/>
      <c r="F22" s="489"/>
      <c r="G22" s="569" t="s">
        <v>478</v>
      </c>
      <c r="H22" s="260"/>
      <c r="I22" s="265"/>
      <c r="J22" s="265"/>
      <c r="K22" s="265"/>
      <c r="L22" s="265"/>
      <c r="M22" s="490"/>
      <c r="N22" s="491"/>
      <c r="O22" s="491"/>
      <c r="P22" s="267"/>
      <c r="Q22" s="320">
        <f>SUM(Q23+Q27)</f>
        <v>2100000</v>
      </c>
    </row>
    <row r="23" spans="1:19" s="383" customFormat="1" ht="15" customHeight="1">
      <c r="A23" s="489"/>
      <c r="B23" s="490"/>
      <c r="C23" s="491"/>
      <c r="D23" s="491"/>
      <c r="E23" s="491"/>
      <c r="F23" s="489"/>
      <c r="G23" s="260" t="s">
        <v>475</v>
      </c>
      <c r="H23" s="260"/>
      <c r="I23" s="265"/>
      <c r="J23" s="265"/>
      <c r="K23" s="265"/>
      <c r="L23" s="265"/>
      <c r="M23" s="490"/>
      <c r="N23" s="491"/>
      <c r="O23" s="491"/>
      <c r="P23" s="267"/>
      <c r="Q23" s="267">
        <f>SUM(Q24:Q25)</f>
        <v>1400000</v>
      </c>
    </row>
    <row r="24" spans="1:19" s="383" customFormat="1" ht="15" customHeight="1">
      <c r="A24" s="875"/>
      <c r="B24" s="875"/>
      <c r="C24" s="491"/>
      <c r="D24" s="491"/>
      <c r="E24" s="491"/>
      <c r="F24" s="489"/>
      <c r="G24" s="260" t="s">
        <v>52</v>
      </c>
      <c r="H24" s="260"/>
      <c r="I24" s="265">
        <v>20</v>
      </c>
      <c r="J24" s="265" t="s">
        <v>17</v>
      </c>
      <c r="K24" s="265" t="s">
        <v>20</v>
      </c>
      <c r="L24" s="265">
        <v>2</v>
      </c>
      <c r="M24" s="490" t="s">
        <v>212</v>
      </c>
      <c r="N24" s="491">
        <f>I24*L24</f>
        <v>40</v>
      </c>
      <c r="O24" s="491" t="s">
        <v>43</v>
      </c>
      <c r="P24" s="267">
        <v>25000</v>
      </c>
      <c r="Q24" s="267">
        <f>N24*P24</f>
        <v>1000000</v>
      </c>
    </row>
    <row r="25" spans="1:19" s="383" customFormat="1" ht="15" customHeight="1">
      <c r="A25" s="875"/>
      <c r="B25" s="875"/>
      <c r="C25" s="491"/>
      <c r="D25" s="491"/>
      <c r="E25" s="491"/>
      <c r="F25" s="489"/>
      <c r="G25" s="260" t="s">
        <v>54</v>
      </c>
      <c r="H25" s="260"/>
      <c r="I25" s="265">
        <v>20</v>
      </c>
      <c r="J25" s="265" t="s">
        <v>17</v>
      </c>
      <c r="K25" s="265" t="s">
        <v>20</v>
      </c>
      <c r="L25" s="265">
        <v>2</v>
      </c>
      <c r="M25" s="490" t="s">
        <v>212</v>
      </c>
      <c r="N25" s="491">
        <f>I25*L25</f>
        <v>40</v>
      </c>
      <c r="O25" s="491" t="s">
        <v>43</v>
      </c>
      <c r="P25" s="267">
        <v>10000</v>
      </c>
      <c r="Q25" s="267">
        <f>N25*P25</f>
        <v>400000</v>
      </c>
    </row>
    <row r="26" spans="1:19" s="383" customFormat="1" ht="7.5" customHeight="1">
      <c r="A26" s="489"/>
      <c r="B26" s="490"/>
      <c r="C26" s="491"/>
      <c r="D26" s="491"/>
      <c r="E26" s="491"/>
      <c r="F26" s="489"/>
      <c r="G26" s="260"/>
      <c r="H26" s="260"/>
      <c r="I26" s="265"/>
      <c r="J26" s="265"/>
      <c r="K26" s="265"/>
      <c r="L26" s="265"/>
      <c r="M26" s="490"/>
      <c r="N26" s="491"/>
      <c r="O26" s="491"/>
      <c r="P26" s="267"/>
      <c r="Q26" s="267"/>
    </row>
    <row r="27" spans="1:19" s="383" customFormat="1" ht="15" customHeight="1">
      <c r="A27" s="489"/>
      <c r="B27" s="490"/>
      <c r="C27" s="491"/>
      <c r="D27" s="491"/>
      <c r="E27" s="491"/>
      <c r="F27" s="489"/>
      <c r="G27" s="260" t="s">
        <v>570</v>
      </c>
      <c r="H27" s="260"/>
      <c r="I27" s="265"/>
      <c r="J27" s="265"/>
      <c r="K27" s="265"/>
      <c r="L27" s="265"/>
      <c r="M27" s="490"/>
      <c r="N27" s="491"/>
      <c r="O27" s="491"/>
      <c r="P27" s="267"/>
      <c r="Q27" s="267">
        <f>SUM(Q28:Q29)</f>
        <v>700000</v>
      </c>
    </row>
    <row r="28" spans="1:19" s="383" customFormat="1" ht="15" customHeight="1">
      <c r="A28" s="489"/>
      <c r="B28" s="490"/>
      <c r="C28" s="491"/>
      <c r="D28" s="491"/>
      <c r="E28" s="491"/>
      <c r="F28" s="489"/>
      <c r="G28" s="260" t="s">
        <v>52</v>
      </c>
      <c r="H28" s="260"/>
      <c r="I28" s="265">
        <v>20</v>
      </c>
      <c r="J28" s="265" t="s">
        <v>17</v>
      </c>
      <c r="K28" s="265" t="s">
        <v>20</v>
      </c>
      <c r="L28" s="265">
        <v>1</v>
      </c>
      <c r="M28" s="490" t="s">
        <v>212</v>
      </c>
      <c r="N28" s="491">
        <f>I28*L28</f>
        <v>20</v>
      </c>
      <c r="O28" s="491" t="s">
        <v>43</v>
      </c>
      <c r="P28" s="267">
        <v>25000</v>
      </c>
      <c r="Q28" s="267">
        <f>N28*P28</f>
        <v>500000</v>
      </c>
    </row>
    <row r="29" spans="1:19" s="383" customFormat="1" ht="15" customHeight="1">
      <c r="A29" s="489"/>
      <c r="B29" s="490"/>
      <c r="C29" s="491"/>
      <c r="D29" s="491"/>
      <c r="E29" s="491"/>
      <c r="F29" s="489"/>
      <c r="G29" s="260" t="s">
        <v>54</v>
      </c>
      <c r="H29" s="260"/>
      <c r="I29" s="265">
        <v>20</v>
      </c>
      <c r="J29" s="265" t="s">
        <v>17</v>
      </c>
      <c r="K29" s="265" t="s">
        <v>20</v>
      </c>
      <c r="L29" s="265">
        <v>1</v>
      </c>
      <c r="M29" s="490" t="s">
        <v>212</v>
      </c>
      <c r="N29" s="491">
        <f>I29*L29</f>
        <v>20</v>
      </c>
      <c r="O29" s="491" t="s">
        <v>43</v>
      </c>
      <c r="P29" s="267">
        <v>10000</v>
      </c>
      <c r="Q29" s="267">
        <f>N29*P29</f>
        <v>200000</v>
      </c>
    </row>
    <row r="30" spans="1:19" s="383" customFormat="1" ht="15" customHeight="1">
      <c r="A30" s="873"/>
      <c r="B30" s="874"/>
      <c r="C30" s="491"/>
      <c r="D30" s="491"/>
      <c r="E30" s="491"/>
      <c r="F30" s="489"/>
      <c r="G30" s="260"/>
      <c r="H30" s="260"/>
      <c r="I30" s="260"/>
      <c r="J30" s="260"/>
      <c r="K30" s="265"/>
      <c r="L30" s="265"/>
      <c r="M30" s="490"/>
      <c r="N30" s="491"/>
      <c r="O30" s="491"/>
      <c r="P30" s="464"/>
      <c r="Q30" s="267"/>
    </row>
    <row r="31" spans="1:19" s="383" customFormat="1" ht="15" customHeight="1">
      <c r="A31" s="489"/>
      <c r="B31" s="490"/>
      <c r="C31" s="491"/>
      <c r="D31" s="491"/>
      <c r="E31" s="491"/>
      <c r="F31" s="489"/>
      <c r="G31" s="569" t="s">
        <v>528</v>
      </c>
      <c r="H31" s="260"/>
      <c r="I31" s="260"/>
      <c r="J31" s="260"/>
      <c r="K31" s="265"/>
      <c r="L31" s="265"/>
      <c r="M31" s="490"/>
      <c r="N31" s="491"/>
      <c r="O31" s="491"/>
      <c r="P31" s="464"/>
      <c r="Q31" s="320">
        <f>Q32</f>
        <v>300000</v>
      </c>
    </row>
    <row r="32" spans="1:19" s="383" customFormat="1" ht="15" customHeight="1">
      <c r="A32" s="489"/>
      <c r="B32" s="490"/>
      <c r="C32" s="491"/>
      <c r="D32" s="491"/>
      <c r="E32" s="491"/>
      <c r="F32" s="489"/>
      <c r="G32" s="260" t="s">
        <v>571</v>
      </c>
      <c r="H32" s="260"/>
      <c r="I32" s="260"/>
      <c r="J32" s="260"/>
      <c r="K32" s="265"/>
      <c r="L32" s="265"/>
      <c r="M32" s="490"/>
      <c r="N32" s="491">
        <v>1</v>
      </c>
      <c r="O32" s="491" t="s">
        <v>212</v>
      </c>
      <c r="P32" s="468">
        <v>300000</v>
      </c>
      <c r="Q32" s="267">
        <f>N32*P32</f>
        <v>300000</v>
      </c>
    </row>
    <row r="33" spans="1:17" s="383" customFormat="1" ht="15" customHeight="1">
      <c r="A33" s="900"/>
      <c r="B33" s="900"/>
      <c r="C33" s="273"/>
      <c r="D33" s="273"/>
      <c r="E33" s="273"/>
      <c r="F33" s="501"/>
      <c r="G33" s="275"/>
      <c r="H33" s="275"/>
      <c r="I33" s="275"/>
      <c r="J33" s="275"/>
      <c r="K33" s="274"/>
      <c r="L33" s="274"/>
      <c r="M33" s="502"/>
      <c r="N33" s="273"/>
      <c r="O33" s="273"/>
      <c r="P33" s="570"/>
      <c r="Q33" s="277"/>
    </row>
    <row r="34" spans="1:17" s="383" customFormat="1" ht="15" customHeight="1">
      <c r="A34" s="872"/>
      <c r="B34" s="872"/>
      <c r="C34" s="488"/>
      <c r="D34" s="488"/>
      <c r="E34" s="488"/>
      <c r="F34" s="848" t="s">
        <v>163</v>
      </c>
      <c r="G34" s="849"/>
      <c r="H34" s="849"/>
      <c r="I34" s="849"/>
      <c r="J34" s="849"/>
      <c r="K34" s="849"/>
      <c r="L34" s="849"/>
      <c r="M34" s="850"/>
      <c r="N34" s="449"/>
      <c r="O34" s="449"/>
      <c r="P34" s="449"/>
      <c r="Q34" s="350">
        <f>Q15</f>
        <v>2663000</v>
      </c>
    </row>
    <row r="35" spans="1:17" s="242" customFormat="1" ht="16.5">
      <c r="A35" s="367"/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87"/>
    </row>
    <row r="36" spans="1:17" s="242" customFormat="1" ht="16.5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5"/>
    </row>
    <row r="37" spans="1:17" s="242" customFormat="1" ht="16.5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5"/>
    </row>
    <row r="38" spans="1:17" s="242" customFormat="1" ht="16.5">
      <c r="A38" s="283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 t="s">
        <v>553</v>
      </c>
      <c r="Q38" s="285"/>
    </row>
    <row r="39" spans="1:17" s="242" customFormat="1" ht="16.5">
      <c r="A39" s="283"/>
      <c r="B39" s="284"/>
      <c r="C39" s="284"/>
      <c r="D39" s="284"/>
      <c r="E39" s="284"/>
      <c r="F39" s="284"/>
      <c r="G39" s="286" t="s">
        <v>168</v>
      </c>
      <c r="H39" s="284"/>
      <c r="I39" s="284"/>
      <c r="J39" s="284"/>
      <c r="K39" s="284"/>
      <c r="L39" s="284"/>
      <c r="M39" s="284"/>
      <c r="N39" s="284"/>
      <c r="O39" s="284"/>
      <c r="P39" s="469" t="s">
        <v>193</v>
      </c>
      <c r="Q39" s="285"/>
    </row>
    <row r="40" spans="1:17" s="242" customFormat="1" ht="16.5">
      <c r="A40" s="283"/>
      <c r="B40" s="284"/>
      <c r="C40" s="284"/>
      <c r="D40" s="284"/>
      <c r="E40" s="284"/>
      <c r="F40" s="284"/>
      <c r="G40" s="286" t="s">
        <v>303</v>
      </c>
      <c r="H40" s="284"/>
      <c r="I40" s="284"/>
      <c r="J40" s="284"/>
      <c r="K40" s="284"/>
      <c r="L40" s="284"/>
      <c r="M40" s="284"/>
      <c r="N40" s="284"/>
      <c r="O40" s="284"/>
      <c r="P40" s="284"/>
      <c r="Q40" s="285"/>
    </row>
    <row r="41" spans="1:17" s="242" customFormat="1" ht="16.5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5"/>
    </row>
    <row r="42" spans="1:17" s="242" customFormat="1" ht="16.5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5"/>
    </row>
    <row r="43" spans="1:17" s="242" customFormat="1" ht="16.5">
      <c r="A43" s="283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5"/>
    </row>
    <row r="44" spans="1:17" s="242" customFormat="1" ht="16.5">
      <c r="A44" s="283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5"/>
    </row>
    <row r="45" spans="1:17" s="242" customFormat="1" ht="16.5">
      <c r="A45" s="283"/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5"/>
    </row>
    <row r="46" spans="1:17" s="242" customFormat="1" ht="16.5">
      <c r="A46" s="283"/>
      <c r="B46" s="284"/>
      <c r="C46" s="284"/>
      <c r="D46" s="284"/>
      <c r="E46" s="284"/>
      <c r="F46" s="284"/>
      <c r="G46" s="303" t="s">
        <v>304</v>
      </c>
      <c r="H46" s="284"/>
      <c r="I46" s="284"/>
      <c r="J46" s="284"/>
      <c r="K46" s="284"/>
      <c r="L46" s="284"/>
      <c r="M46" s="284"/>
      <c r="N46" s="284"/>
      <c r="O46" s="284"/>
      <c r="P46" s="303" t="s">
        <v>551</v>
      </c>
      <c r="Q46" s="285"/>
    </row>
    <row r="47" spans="1:17" s="242" customFormat="1" ht="16.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9"/>
    </row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  <row r="193" s="242" customFormat="1" ht="16.5"/>
    <row r="194" s="242" customFormat="1" ht="16.5"/>
    <row r="195" s="242" customFormat="1" ht="16.5"/>
    <row r="196" s="242" customFormat="1" ht="16.5"/>
    <row r="197" s="242" customFormat="1" ht="16.5"/>
    <row r="198" s="242" customFormat="1" ht="16.5"/>
    <row r="199" s="242" customFormat="1" ht="16.5"/>
    <row r="200" s="242" customFormat="1" ht="16.5"/>
    <row r="201" s="242" customFormat="1" ht="16.5"/>
    <row r="202" s="242" customFormat="1" ht="16.5"/>
    <row r="203" s="242" customFormat="1" ht="16.5"/>
    <row r="204" s="242" customFormat="1" ht="16.5"/>
    <row r="205" s="242" customFormat="1" ht="16.5"/>
    <row r="206" s="242" customFormat="1" ht="16.5"/>
    <row r="207" s="242" customFormat="1" ht="16.5"/>
    <row r="208" s="242" customFormat="1" ht="16.5"/>
    <row r="209" s="242" customFormat="1" ht="16.5"/>
    <row r="210" s="242" customFormat="1" ht="16.5"/>
    <row r="211" s="242" customFormat="1" ht="16.5"/>
    <row r="212" s="242" customFormat="1" ht="16.5"/>
    <row r="213" s="242" customFormat="1" ht="16.5"/>
    <row r="214" s="242" customFormat="1" ht="16.5"/>
    <row r="215" s="242" customFormat="1" ht="16.5"/>
    <row r="216" s="242" customFormat="1" ht="16.5"/>
    <row r="217" s="242" customFormat="1" ht="16.5"/>
    <row r="218" s="242" customFormat="1" ht="16.5"/>
    <row r="219" s="242" customFormat="1" ht="16.5"/>
    <row r="220" s="242" customFormat="1" ht="16.5"/>
    <row r="221" s="242" customFormat="1" ht="16.5"/>
    <row r="222" s="242" customFormat="1" ht="16.5"/>
    <row r="223" s="242" customFormat="1" ht="16.5"/>
    <row r="224" s="242" customFormat="1" ht="16.5"/>
    <row r="225" s="242" customFormat="1" ht="16.5"/>
    <row r="226" s="242" customFormat="1" ht="16.5"/>
    <row r="227" s="242" customFormat="1" ht="16.5"/>
    <row r="228" s="242" customFormat="1" ht="16.5"/>
    <row r="229" s="242" customFormat="1" ht="16.5"/>
    <row r="230" s="242" customFormat="1" ht="16.5"/>
    <row r="231" s="242" customFormat="1" ht="16.5"/>
    <row r="232" s="242" customFormat="1" ht="16.5"/>
    <row r="233" s="242" customFormat="1" ht="16.5"/>
    <row r="234" s="242" customFormat="1" ht="16.5"/>
    <row r="235" s="242" customFormat="1" ht="16.5"/>
    <row r="236" s="242" customFormat="1" ht="16.5"/>
    <row r="237" s="242" customFormat="1" ht="16.5"/>
    <row r="238" s="242" customFormat="1" ht="16.5"/>
    <row r="239" s="242" customFormat="1" ht="16.5"/>
    <row r="240" s="242" customFormat="1" ht="16.5"/>
    <row r="241" s="242" customFormat="1" ht="16.5"/>
    <row r="242" s="242" customFormat="1" ht="16.5"/>
    <row r="243" s="242" customFormat="1" ht="16.5"/>
    <row r="244" s="242" customFormat="1" ht="16.5"/>
    <row r="245" s="242" customFormat="1" ht="16.5"/>
    <row r="246" s="242" customFormat="1" ht="16.5"/>
    <row r="247" s="242" customFormat="1" ht="16.5"/>
    <row r="248" s="242" customFormat="1" ht="16.5"/>
    <row r="249" s="242" customFormat="1" ht="16.5"/>
    <row r="250" s="242" customFormat="1" ht="16.5"/>
    <row r="251" s="242" customFormat="1" ht="16.5"/>
    <row r="252" s="242" customFormat="1" ht="16.5"/>
    <row r="253" s="242" customFormat="1" ht="16.5"/>
    <row r="254" s="242" customFormat="1" ht="16.5"/>
    <row r="255" s="242" customFormat="1" ht="16.5"/>
    <row r="256" s="242" customFormat="1" ht="16.5"/>
    <row r="257" s="242" customFormat="1" ht="16.5"/>
    <row r="258" s="242" customFormat="1" ht="16.5"/>
    <row r="259" s="242" customFormat="1" ht="16.5"/>
    <row r="260" s="242" customFormat="1" ht="16.5"/>
    <row r="261" s="242" customFormat="1" ht="16.5"/>
    <row r="262" s="242" customFormat="1" ht="16.5"/>
    <row r="263" s="242" customFormat="1" ht="16.5"/>
    <row r="264" s="242" customFormat="1" ht="16.5"/>
    <row r="265" s="242" customFormat="1" ht="16.5"/>
    <row r="266" s="242" customFormat="1" ht="16.5"/>
    <row r="267" s="28" customFormat="1"/>
    <row r="268" s="28" customFormat="1"/>
    <row r="269" s="28" customFormat="1"/>
    <row r="270" s="28" customFormat="1"/>
    <row r="271" s="28" customFormat="1"/>
    <row r="272" s="28" customFormat="1"/>
  </sheetData>
  <mergeCells count="23">
    <mergeCell ref="G15:M15"/>
    <mergeCell ref="A12:E13"/>
    <mergeCell ref="A14:E14"/>
    <mergeCell ref="J7:Q7"/>
    <mergeCell ref="A1:Q1"/>
    <mergeCell ref="A2:Q2"/>
    <mergeCell ref="A3:Q3"/>
    <mergeCell ref="J5:Q5"/>
    <mergeCell ref="N12:N13"/>
    <mergeCell ref="O12:O13"/>
    <mergeCell ref="Q12:Q13"/>
    <mergeCell ref="F12:M13"/>
    <mergeCell ref="A15:B15"/>
    <mergeCell ref="A16:B16"/>
    <mergeCell ref="A17:B17"/>
    <mergeCell ref="A18:B18"/>
    <mergeCell ref="A19:B19"/>
    <mergeCell ref="F34:M34"/>
    <mergeCell ref="A24:B24"/>
    <mergeCell ref="A25:B25"/>
    <mergeCell ref="A34:B34"/>
    <mergeCell ref="A30:B30"/>
    <mergeCell ref="A33:B33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F0"/>
  </sheetPr>
  <dimension ref="A1:U181"/>
  <sheetViews>
    <sheetView zoomScaleSheetLayoutView="90" workbookViewId="0">
      <selection activeCell="S22" sqref="S22"/>
    </sheetView>
  </sheetViews>
  <sheetFormatPr defaultRowHeight="15"/>
  <cols>
    <col min="1" max="1" width="2" customWidth="1"/>
    <col min="2" max="2" width="0.85546875" customWidth="1"/>
    <col min="3" max="5" width="3" customWidth="1"/>
    <col min="6" max="6" width="1.42578125" customWidth="1"/>
    <col min="7" max="7" width="21.140625" customWidth="1"/>
    <col min="8" max="8" width="1.5703125" hidden="1" customWidth="1"/>
    <col min="9" max="9" width="3.5703125" customWidth="1"/>
    <col min="10" max="10" width="4.42578125" customWidth="1"/>
    <col min="11" max="11" width="3" customWidth="1"/>
    <col min="12" max="12" width="3.28515625" customWidth="1"/>
    <col min="13" max="13" width="4.5703125" customWidth="1"/>
    <col min="14" max="14" width="7.42578125" customWidth="1"/>
    <col min="15" max="15" width="7" customWidth="1"/>
    <col min="16" max="16" width="14.28515625" customWidth="1"/>
    <col min="17" max="17" width="16" customWidth="1"/>
    <col min="19" max="19" width="10.5703125" bestFit="1" customWidth="1"/>
    <col min="20" max="20" width="10" bestFit="1" customWidth="1"/>
    <col min="21" max="21" width="14" bestFit="1" customWidth="1"/>
  </cols>
  <sheetData>
    <row r="1" spans="1:21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21" s="242" customFormat="1" ht="18.75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21" s="242" customFormat="1" ht="18.75">
      <c r="A3" s="869" t="s">
        <v>211</v>
      </c>
      <c r="B3" s="870"/>
      <c r="C3" s="870"/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870"/>
      <c r="P3" s="870"/>
      <c r="Q3" s="871"/>
    </row>
    <row r="4" spans="1:21" s="242" customFormat="1" ht="20.25" customHeight="1">
      <c r="A4" s="283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94"/>
    </row>
    <row r="5" spans="1:21" s="242" customFormat="1" ht="15" customHeight="1">
      <c r="A5" s="283" t="s">
        <v>7</v>
      </c>
      <c r="B5" s="295" t="s">
        <v>10</v>
      </c>
      <c r="C5" s="295"/>
      <c r="D5" s="295"/>
      <c r="E5" s="295"/>
      <c r="F5" s="295"/>
      <c r="G5" s="286"/>
      <c r="H5" s="286" t="s">
        <v>12</v>
      </c>
      <c r="I5" s="286" t="s">
        <v>12</v>
      </c>
      <c r="J5" s="851" t="s">
        <v>496</v>
      </c>
      <c r="K5" s="851"/>
      <c r="L5" s="851"/>
      <c r="M5" s="851"/>
      <c r="N5" s="851"/>
      <c r="O5" s="851"/>
      <c r="P5" s="851"/>
      <c r="Q5" s="852"/>
    </row>
    <row r="6" spans="1:21" s="242" customFormat="1" ht="15" customHeight="1">
      <c r="A6" s="283" t="s">
        <v>8</v>
      </c>
      <c r="B6" s="295" t="s">
        <v>11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295" t="s">
        <v>275</v>
      </c>
      <c r="K6" s="295"/>
      <c r="L6" s="295"/>
      <c r="M6" s="295"/>
      <c r="N6" s="295"/>
      <c r="O6" s="295"/>
      <c r="P6" s="295"/>
      <c r="Q6" s="296"/>
    </row>
    <row r="7" spans="1:21" s="242" customFormat="1" ht="15" customHeight="1">
      <c r="A7" s="283" t="s">
        <v>9</v>
      </c>
      <c r="B7" s="295" t="s">
        <v>22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851" t="s">
        <v>76</v>
      </c>
      <c r="K7" s="851"/>
      <c r="L7" s="851"/>
      <c r="M7" s="851"/>
      <c r="N7" s="851"/>
      <c r="O7" s="851"/>
      <c r="P7" s="851"/>
      <c r="Q7" s="852"/>
    </row>
    <row r="8" spans="1:21" s="242" customFormat="1" ht="15" customHeight="1">
      <c r="A8" s="297" t="s">
        <v>219</v>
      </c>
      <c r="B8" s="295" t="s">
        <v>216</v>
      </c>
      <c r="C8" s="295"/>
      <c r="D8" s="295"/>
      <c r="E8" s="295"/>
      <c r="F8" s="295"/>
      <c r="G8" s="286"/>
      <c r="H8" s="286"/>
      <c r="I8" s="286" t="s">
        <v>12</v>
      </c>
      <c r="J8" s="469" t="s">
        <v>288</v>
      </c>
      <c r="K8" s="469"/>
      <c r="L8" s="469"/>
      <c r="M8" s="469"/>
      <c r="N8" s="469"/>
      <c r="O8" s="469"/>
      <c r="P8" s="469"/>
      <c r="Q8" s="470"/>
    </row>
    <row r="9" spans="1:21" s="242" customFormat="1" ht="5.25" customHeight="1">
      <c r="A9" s="297"/>
      <c r="B9" s="295"/>
      <c r="C9" s="295"/>
      <c r="D9" s="295"/>
      <c r="E9" s="295"/>
      <c r="F9" s="295"/>
      <c r="G9" s="286"/>
      <c r="H9" s="286"/>
      <c r="I9" s="286"/>
      <c r="J9" s="469"/>
      <c r="K9" s="469"/>
      <c r="L9" s="469"/>
      <c r="M9" s="469"/>
      <c r="N9" s="469"/>
      <c r="O9" s="469"/>
      <c r="P9" s="469"/>
      <c r="Q9" s="470"/>
    </row>
    <row r="10" spans="1:21" s="243" customFormat="1" ht="12.75">
      <c r="A10" s="394" t="s">
        <v>218</v>
      </c>
      <c r="B10" s="395"/>
      <c r="C10" s="395"/>
      <c r="D10" s="395"/>
      <c r="E10" s="395"/>
      <c r="F10" s="395" t="s">
        <v>12</v>
      </c>
      <c r="G10" s="382"/>
      <c r="H10" s="382"/>
      <c r="I10" s="382"/>
      <c r="J10" s="397"/>
      <c r="K10" s="397"/>
      <c r="L10" s="397"/>
      <c r="M10" s="397"/>
      <c r="N10" s="397"/>
      <c r="O10" s="397"/>
      <c r="P10" s="397"/>
      <c r="Q10" s="398"/>
    </row>
    <row r="11" spans="1:21" s="242" customFormat="1" ht="3.75" customHeight="1">
      <c r="A11" s="283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5"/>
    </row>
    <row r="12" spans="1:21" s="243" customFormat="1" ht="15.75" customHeight="1">
      <c r="A12" s="775" t="s">
        <v>0</v>
      </c>
      <c r="B12" s="776"/>
      <c r="C12" s="776"/>
      <c r="D12" s="776"/>
      <c r="E12" s="777"/>
      <c r="F12" s="775" t="s">
        <v>1</v>
      </c>
      <c r="G12" s="776"/>
      <c r="H12" s="776"/>
      <c r="I12" s="776"/>
      <c r="J12" s="776"/>
      <c r="K12" s="776"/>
      <c r="L12" s="776"/>
      <c r="M12" s="777"/>
      <c r="N12" s="780" t="s">
        <v>2</v>
      </c>
      <c r="O12" s="780" t="s">
        <v>47</v>
      </c>
      <c r="P12" s="479" t="s">
        <v>4</v>
      </c>
      <c r="Q12" s="780" t="s">
        <v>3</v>
      </c>
    </row>
    <row r="13" spans="1:21" s="243" customFormat="1" ht="12.75">
      <c r="A13" s="863"/>
      <c r="B13" s="778"/>
      <c r="C13" s="778"/>
      <c r="D13" s="778"/>
      <c r="E13" s="779"/>
      <c r="F13" s="863"/>
      <c r="G13" s="778"/>
      <c r="H13" s="778"/>
      <c r="I13" s="778"/>
      <c r="J13" s="778"/>
      <c r="K13" s="778"/>
      <c r="L13" s="778"/>
      <c r="M13" s="779"/>
      <c r="N13" s="781"/>
      <c r="O13" s="781"/>
      <c r="P13" s="480" t="s">
        <v>5</v>
      </c>
      <c r="Q13" s="781"/>
    </row>
    <row r="14" spans="1:21" s="237" customFormat="1" ht="12.75" customHeight="1">
      <c r="A14" s="864">
        <v>1</v>
      </c>
      <c r="B14" s="865"/>
      <c r="C14" s="865"/>
      <c r="D14" s="865"/>
      <c r="E14" s="866"/>
      <c r="F14" s="864">
        <v>2</v>
      </c>
      <c r="G14" s="865"/>
      <c r="H14" s="865"/>
      <c r="I14" s="865"/>
      <c r="J14" s="865"/>
      <c r="K14" s="865"/>
      <c r="L14" s="865"/>
      <c r="M14" s="866"/>
      <c r="N14" s="239">
        <v>3</v>
      </c>
      <c r="O14" s="239"/>
      <c r="P14" s="239">
        <v>4</v>
      </c>
      <c r="Q14" s="239">
        <v>5</v>
      </c>
    </row>
    <row r="15" spans="1:21" s="242" customFormat="1" ht="15" customHeight="1">
      <c r="A15" s="879">
        <v>2</v>
      </c>
      <c r="B15" s="880"/>
      <c r="C15" s="492">
        <v>3</v>
      </c>
      <c r="D15" s="492">
        <v>4</v>
      </c>
      <c r="E15" s="492">
        <v>2</v>
      </c>
      <c r="F15" s="432" t="s">
        <v>14</v>
      </c>
      <c r="G15" s="862" t="s">
        <v>48</v>
      </c>
      <c r="H15" s="862"/>
      <c r="I15" s="862"/>
      <c r="J15" s="862"/>
      <c r="K15" s="862"/>
      <c r="L15" s="862"/>
      <c r="M15" s="901"/>
      <c r="N15" s="256"/>
      <c r="O15" s="256"/>
      <c r="P15" s="256"/>
      <c r="Q15" s="308">
        <f>SUM(Q16)+Q19</f>
        <v>10980000</v>
      </c>
      <c r="U15" s="282">
        <f>SUM(U16:U20)</f>
        <v>4575000</v>
      </c>
    </row>
    <row r="16" spans="1:21" s="242" customFormat="1" ht="15" customHeight="1">
      <c r="A16" s="873"/>
      <c r="B16" s="874"/>
      <c r="C16" s="491"/>
      <c r="D16" s="491"/>
      <c r="E16" s="491"/>
      <c r="F16" s="489"/>
      <c r="G16" s="261" t="s">
        <v>188</v>
      </c>
      <c r="H16" s="260"/>
      <c r="I16" s="265"/>
      <c r="J16" s="265"/>
      <c r="K16" s="265"/>
      <c r="L16" s="265"/>
      <c r="M16" s="490"/>
      <c r="N16" s="491"/>
      <c r="O16" s="491"/>
      <c r="P16" s="267"/>
      <c r="Q16" s="320">
        <f>SUM(Q17)</f>
        <v>7920000</v>
      </c>
      <c r="S16" s="311"/>
      <c r="U16" s="271">
        <f>I17*5*55000</f>
        <v>3300000</v>
      </c>
    </row>
    <row r="17" spans="1:21" s="242" customFormat="1" ht="15" customHeight="1">
      <c r="A17" s="873"/>
      <c r="B17" s="874"/>
      <c r="C17" s="491"/>
      <c r="D17" s="491"/>
      <c r="E17" s="491"/>
      <c r="F17" s="489"/>
      <c r="G17" s="260" t="s">
        <v>187</v>
      </c>
      <c r="H17" s="260"/>
      <c r="I17" s="265">
        <v>12</v>
      </c>
      <c r="J17" s="265" t="s">
        <v>17</v>
      </c>
      <c r="K17" s="265" t="s">
        <v>20</v>
      </c>
      <c r="L17" s="265">
        <v>12</v>
      </c>
      <c r="M17" s="490" t="s">
        <v>21</v>
      </c>
      <c r="N17" s="491">
        <f>I17*L17</f>
        <v>144</v>
      </c>
      <c r="O17" s="491" t="s">
        <v>39</v>
      </c>
      <c r="P17" s="267">
        <v>55000</v>
      </c>
      <c r="Q17" s="267">
        <f>N17*P17</f>
        <v>7920000</v>
      </c>
      <c r="S17" s="311"/>
      <c r="T17" s="311"/>
    </row>
    <row r="18" spans="1:21" s="242" customFormat="1" ht="8.25" customHeight="1">
      <c r="A18" s="489"/>
      <c r="B18" s="490"/>
      <c r="C18" s="491"/>
      <c r="D18" s="491"/>
      <c r="E18" s="491"/>
      <c r="F18" s="489"/>
      <c r="G18" s="260"/>
      <c r="H18" s="260"/>
      <c r="I18" s="265"/>
      <c r="J18" s="265"/>
      <c r="K18" s="265"/>
      <c r="L18" s="265"/>
      <c r="M18" s="490"/>
      <c r="N18" s="491"/>
      <c r="O18" s="491"/>
      <c r="P18" s="267"/>
      <c r="Q18" s="267"/>
      <c r="S18" s="311"/>
      <c r="T18" s="311"/>
    </row>
    <row r="19" spans="1:21" s="242" customFormat="1" ht="15" customHeight="1">
      <c r="A19" s="489"/>
      <c r="B19" s="490"/>
      <c r="C19" s="491"/>
      <c r="D19" s="491"/>
      <c r="E19" s="491"/>
      <c r="F19" s="447" t="s">
        <v>14</v>
      </c>
      <c r="G19" s="260" t="s">
        <v>545</v>
      </c>
      <c r="H19" s="260"/>
      <c r="I19" s="265"/>
      <c r="J19" s="265"/>
      <c r="K19" s="265"/>
      <c r="L19" s="265"/>
      <c r="M19" s="490"/>
      <c r="N19" s="491"/>
      <c r="O19" s="491"/>
      <c r="P19" s="267"/>
      <c r="Q19" s="320">
        <f>SUM(Q20:Q21)</f>
        <v>3060000</v>
      </c>
      <c r="S19" s="311"/>
      <c r="T19" s="311"/>
      <c r="U19" s="271">
        <f>I20*5*55000</f>
        <v>275000</v>
      </c>
    </row>
    <row r="20" spans="1:21" s="242" customFormat="1" ht="15" customHeight="1">
      <c r="A20" s="489"/>
      <c r="B20" s="490"/>
      <c r="C20" s="491"/>
      <c r="D20" s="491"/>
      <c r="E20" s="491"/>
      <c r="F20" s="489"/>
      <c r="G20" s="321" t="s">
        <v>546</v>
      </c>
      <c r="H20" s="260"/>
      <c r="I20" s="265">
        <v>1</v>
      </c>
      <c r="J20" s="265" t="s">
        <v>17</v>
      </c>
      <c r="K20" s="265" t="s">
        <v>20</v>
      </c>
      <c r="L20" s="265">
        <v>12</v>
      </c>
      <c r="M20" s="490" t="s">
        <v>21</v>
      </c>
      <c r="N20" s="491">
        <f>I20*L20</f>
        <v>12</v>
      </c>
      <c r="O20" s="491" t="s">
        <v>39</v>
      </c>
      <c r="P20" s="267">
        <v>55000</v>
      </c>
      <c r="Q20" s="267">
        <f>N20*P20</f>
        <v>660000</v>
      </c>
      <c r="S20" s="311"/>
      <c r="T20" s="311"/>
      <c r="U20" s="271">
        <f>I21*5*50000</f>
        <v>1000000</v>
      </c>
    </row>
    <row r="21" spans="1:21" s="242" customFormat="1" ht="15" customHeight="1">
      <c r="A21" s="489"/>
      <c r="B21" s="490"/>
      <c r="C21" s="491"/>
      <c r="D21" s="491"/>
      <c r="E21" s="491"/>
      <c r="F21" s="489"/>
      <c r="G21" s="321" t="s">
        <v>547</v>
      </c>
      <c r="H21" s="260"/>
      <c r="I21" s="265">
        <v>4</v>
      </c>
      <c r="J21" s="265" t="s">
        <v>17</v>
      </c>
      <c r="K21" s="265" t="s">
        <v>20</v>
      </c>
      <c r="L21" s="265">
        <v>12</v>
      </c>
      <c r="M21" s="490" t="s">
        <v>21</v>
      </c>
      <c r="N21" s="491">
        <f>I21*L21</f>
        <v>48</v>
      </c>
      <c r="O21" s="491" t="s">
        <v>39</v>
      </c>
      <c r="P21" s="267">
        <v>50000</v>
      </c>
      <c r="Q21" s="267">
        <f>N21*P21</f>
        <v>2400000</v>
      </c>
      <c r="S21" s="311"/>
      <c r="T21" s="311"/>
    </row>
    <row r="22" spans="1:21" s="242" customFormat="1" ht="15" customHeight="1">
      <c r="A22" s="489"/>
      <c r="B22" s="490"/>
      <c r="C22" s="491"/>
      <c r="D22" s="491"/>
      <c r="E22" s="491"/>
      <c r="F22" s="489"/>
      <c r="G22" s="260"/>
      <c r="H22" s="260"/>
      <c r="I22" s="265"/>
      <c r="J22" s="265"/>
      <c r="K22" s="265"/>
      <c r="L22" s="265"/>
      <c r="M22" s="490"/>
      <c r="N22" s="491"/>
      <c r="O22" s="491"/>
      <c r="P22" s="267"/>
      <c r="Q22" s="267"/>
      <c r="S22" s="311"/>
    </row>
    <row r="23" spans="1:21" s="242" customFormat="1" ht="15" customHeight="1">
      <c r="A23" s="902"/>
      <c r="B23" s="902"/>
      <c r="C23" s="571"/>
      <c r="D23" s="571"/>
      <c r="E23" s="571"/>
      <c r="F23" s="848" t="s">
        <v>208</v>
      </c>
      <c r="G23" s="849"/>
      <c r="H23" s="849"/>
      <c r="I23" s="849"/>
      <c r="J23" s="849"/>
      <c r="K23" s="849"/>
      <c r="L23" s="849"/>
      <c r="M23" s="850"/>
      <c r="N23" s="571"/>
      <c r="O23" s="571"/>
      <c r="P23" s="572"/>
      <c r="Q23" s="573">
        <f>Q15</f>
        <v>10980000</v>
      </c>
    </row>
    <row r="24" spans="1:21" s="242" customFormat="1" ht="16.5">
      <c r="A24" s="367"/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87"/>
    </row>
    <row r="25" spans="1:21" s="242" customFormat="1" ht="16.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5"/>
    </row>
    <row r="26" spans="1:21" s="242" customFormat="1" ht="16.5">
      <c r="A26" s="283"/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5"/>
    </row>
    <row r="27" spans="1:21" s="242" customFormat="1" ht="16.5">
      <c r="A27" s="283"/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 t="s">
        <v>559</v>
      </c>
      <c r="Q27" s="285"/>
    </row>
    <row r="28" spans="1:21" s="242" customFormat="1" ht="15" customHeight="1">
      <c r="A28" s="283"/>
      <c r="B28" s="284"/>
      <c r="C28" s="284"/>
      <c r="D28" s="284"/>
      <c r="E28" s="284"/>
      <c r="F28" s="284"/>
      <c r="G28" s="286" t="s">
        <v>168</v>
      </c>
      <c r="H28" s="284"/>
      <c r="I28" s="284"/>
      <c r="J28" s="284"/>
      <c r="K28" s="284"/>
      <c r="L28" s="284"/>
      <c r="M28" s="284"/>
      <c r="N28" s="284"/>
      <c r="O28" s="284"/>
      <c r="P28" s="286" t="s">
        <v>193</v>
      </c>
      <c r="Q28" s="285"/>
    </row>
    <row r="29" spans="1:21" s="242" customFormat="1" ht="15" customHeight="1">
      <c r="A29" s="283"/>
      <c r="B29" s="284"/>
      <c r="C29" s="284"/>
      <c r="D29" s="284"/>
      <c r="E29" s="284"/>
      <c r="F29" s="284"/>
      <c r="G29" s="286" t="s">
        <v>298</v>
      </c>
      <c r="H29" s="284"/>
      <c r="I29" s="284"/>
      <c r="J29" s="284"/>
      <c r="K29" s="284"/>
      <c r="L29" s="284"/>
      <c r="M29" s="284"/>
      <c r="N29" s="284"/>
      <c r="O29" s="284"/>
      <c r="P29" s="284"/>
      <c r="Q29" s="285"/>
    </row>
    <row r="30" spans="1:21" s="242" customFormat="1" ht="15" customHeight="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5"/>
    </row>
    <row r="31" spans="1:21" s="242" customFormat="1" ht="15" customHeight="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5"/>
    </row>
    <row r="32" spans="1:21" s="242" customFormat="1" ht="15" customHeight="1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/>
    </row>
    <row r="33" spans="1:17" s="242" customFormat="1" ht="15" customHeight="1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5"/>
    </row>
    <row r="34" spans="1:17" s="242" customFormat="1" ht="15" customHeight="1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5"/>
    </row>
    <row r="35" spans="1:17" s="242" customFormat="1" ht="15" customHeight="1">
      <c r="A35" s="283"/>
      <c r="B35" s="284"/>
      <c r="C35" s="284"/>
      <c r="D35" s="284"/>
      <c r="E35" s="284"/>
      <c r="F35" s="284"/>
      <c r="G35" s="303" t="s">
        <v>304</v>
      </c>
      <c r="H35" s="284"/>
      <c r="I35" s="284"/>
      <c r="J35" s="284"/>
      <c r="K35" s="284"/>
      <c r="L35" s="284"/>
      <c r="M35" s="284"/>
      <c r="N35" s="284"/>
      <c r="O35" s="284"/>
      <c r="P35" s="381" t="s">
        <v>551</v>
      </c>
      <c r="Q35" s="285"/>
    </row>
    <row r="36" spans="1:17" s="242" customFormat="1" ht="16.5">
      <c r="A36" s="287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9"/>
    </row>
    <row r="37" spans="1:17" s="242" customFormat="1" ht="16.5"/>
    <row r="38" spans="1:17" s="242" customFormat="1" ht="16.5"/>
    <row r="39" spans="1:17" s="242" customFormat="1" ht="16.5"/>
    <row r="40" spans="1:17" s="242" customFormat="1" ht="16.5"/>
    <row r="41" spans="1:17" s="242" customFormat="1" ht="16.5"/>
    <row r="42" spans="1:17" s="242" customFormat="1" ht="16.5"/>
    <row r="43" spans="1:17" s="242" customFormat="1" ht="16.5"/>
    <row r="44" spans="1:17" s="242" customFormat="1" ht="16.5"/>
    <row r="45" spans="1:17" s="242" customFormat="1" ht="16.5"/>
    <row r="46" spans="1:17" s="242" customFormat="1" ht="16.5"/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8" customFormat="1"/>
    <row r="181" s="28" customFormat="1"/>
  </sheetData>
  <mergeCells count="18">
    <mergeCell ref="A1:Q1"/>
    <mergeCell ref="A2:Q2"/>
    <mergeCell ref="A3:Q3"/>
    <mergeCell ref="J5:Q5"/>
    <mergeCell ref="J7:Q7"/>
    <mergeCell ref="F23:M23"/>
    <mergeCell ref="A23:B23"/>
    <mergeCell ref="O12:O13"/>
    <mergeCell ref="Q12:Q13"/>
    <mergeCell ref="A17:B17"/>
    <mergeCell ref="A15:B15"/>
    <mergeCell ref="A16:B16"/>
    <mergeCell ref="A12:E13"/>
    <mergeCell ref="A14:E14"/>
    <mergeCell ref="G15:M15"/>
    <mergeCell ref="F12:M13"/>
    <mergeCell ref="F14:M14"/>
    <mergeCell ref="N12:N13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F0"/>
  </sheetPr>
  <dimension ref="A1:U183"/>
  <sheetViews>
    <sheetView tabSelected="1" topLeftCell="A3" zoomScaleSheetLayoutView="90" workbookViewId="0">
      <selection activeCell="U14" sqref="U14"/>
    </sheetView>
  </sheetViews>
  <sheetFormatPr defaultRowHeight="15"/>
  <cols>
    <col min="1" max="1" width="2" customWidth="1"/>
    <col min="2" max="2" width="1.140625" customWidth="1"/>
    <col min="3" max="5" width="2.7109375" customWidth="1"/>
    <col min="6" max="6" width="1.42578125" customWidth="1"/>
    <col min="7" max="7" width="20.42578125" customWidth="1"/>
    <col min="8" max="8" width="1.5703125" hidden="1" customWidth="1"/>
    <col min="9" max="9" width="2.140625" customWidth="1"/>
    <col min="10" max="13" width="3.85546875" customWidth="1"/>
    <col min="14" max="14" width="7.42578125" customWidth="1"/>
    <col min="15" max="15" width="7.28515625" customWidth="1"/>
    <col min="16" max="16" width="13" customWidth="1"/>
    <col min="17" max="17" width="18.5703125" customWidth="1"/>
    <col min="19" max="19" width="10.5703125" bestFit="1" customWidth="1"/>
    <col min="20" max="20" width="12.140625" bestFit="1" customWidth="1"/>
    <col min="21" max="21" width="11.140625" bestFit="1" customWidth="1"/>
  </cols>
  <sheetData>
    <row r="1" spans="1:17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2" customFormat="1" ht="18.75">
      <c r="A2" s="869" t="s">
        <v>315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2" customFormat="1" ht="16.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85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7"/>
    </row>
    <row r="5" spans="1:17" s="242" customFormat="1" ht="15" customHeight="1">
      <c r="A5" s="283" t="s">
        <v>7</v>
      </c>
      <c r="B5" s="295" t="s">
        <v>10</v>
      </c>
      <c r="C5" s="295"/>
      <c r="D5" s="295"/>
      <c r="E5" s="295"/>
      <c r="F5" s="295"/>
      <c r="G5" s="286"/>
      <c r="H5" s="286" t="s">
        <v>12</v>
      </c>
      <c r="I5" s="286" t="s">
        <v>12</v>
      </c>
      <c r="J5" s="851" t="s">
        <v>441</v>
      </c>
      <c r="K5" s="851"/>
      <c r="L5" s="851"/>
      <c r="M5" s="851"/>
      <c r="N5" s="851"/>
      <c r="O5" s="851"/>
      <c r="P5" s="851"/>
      <c r="Q5" s="852"/>
    </row>
    <row r="6" spans="1:17" s="242" customFormat="1" ht="15" customHeight="1">
      <c r="A6" s="283" t="s">
        <v>8</v>
      </c>
      <c r="B6" s="295" t="s">
        <v>11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295" t="s">
        <v>276</v>
      </c>
      <c r="K6" s="295"/>
      <c r="L6" s="295"/>
      <c r="M6" s="295"/>
      <c r="N6" s="295"/>
      <c r="O6" s="295"/>
      <c r="P6" s="295"/>
      <c r="Q6" s="296"/>
    </row>
    <row r="7" spans="1:17" s="242" customFormat="1" ht="15" customHeight="1">
      <c r="A7" s="283" t="s">
        <v>9</v>
      </c>
      <c r="B7" s="295" t="s">
        <v>22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851" t="s">
        <v>76</v>
      </c>
      <c r="K7" s="851"/>
      <c r="L7" s="851"/>
      <c r="M7" s="851"/>
      <c r="N7" s="851"/>
      <c r="O7" s="851"/>
      <c r="P7" s="851"/>
      <c r="Q7" s="852"/>
    </row>
    <row r="8" spans="1:17" s="242" customFormat="1" ht="15" customHeight="1">
      <c r="A8" s="297" t="s">
        <v>219</v>
      </c>
      <c r="B8" s="295" t="s">
        <v>216</v>
      </c>
      <c r="C8" s="295"/>
      <c r="D8" s="295"/>
      <c r="E8" s="295"/>
      <c r="F8" s="295"/>
      <c r="G8" s="286"/>
      <c r="H8" s="286"/>
      <c r="I8" s="286" t="s">
        <v>12</v>
      </c>
      <c r="J8" s="505" t="s">
        <v>288</v>
      </c>
      <c r="K8" s="469"/>
      <c r="L8" s="469"/>
      <c r="M8" s="469"/>
      <c r="N8" s="469"/>
      <c r="O8" s="469"/>
      <c r="P8" s="469"/>
      <c r="Q8" s="470"/>
    </row>
    <row r="9" spans="1:17" s="242" customFormat="1" ht="6" customHeight="1">
      <c r="A9" s="283"/>
      <c r="B9" s="295"/>
      <c r="C9" s="295"/>
      <c r="D9" s="295"/>
      <c r="E9" s="295"/>
      <c r="F9" s="295"/>
      <c r="G9" s="286"/>
      <c r="H9" s="286"/>
      <c r="I9" s="286"/>
      <c r="J9" s="469"/>
      <c r="K9" s="469"/>
      <c r="L9" s="469"/>
      <c r="M9" s="469"/>
      <c r="N9" s="469"/>
      <c r="O9" s="469"/>
      <c r="P9" s="469"/>
      <c r="Q9" s="470"/>
    </row>
    <row r="10" spans="1:17" s="243" customFormat="1" ht="15" customHeight="1">
      <c r="A10" s="457" t="s">
        <v>221</v>
      </c>
      <c r="B10" s="430"/>
      <c r="C10" s="430"/>
      <c r="D10" s="430"/>
      <c r="E10" s="430"/>
      <c r="F10" s="430"/>
      <c r="G10" s="382"/>
      <c r="H10" s="382"/>
      <c r="I10" s="382"/>
      <c r="J10" s="397"/>
      <c r="K10" s="397"/>
      <c r="L10" s="397"/>
      <c r="M10" s="397"/>
      <c r="N10" s="397"/>
      <c r="O10" s="397"/>
      <c r="P10" s="397"/>
      <c r="Q10" s="398"/>
    </row>
    <row r="11" spans="1:17" s="242" customFormat="1" ht="5.25" customHeight="1">
      <c r="A11" s="283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5"/>
    </row>
    <row r="12" spans="1:17" s="243" customFormat="1" ht="14.25" customHeight="1">
      <c r="A12" s="775" t="s">
        <v>0</v>
      </c>
      <c r="B12" s="776"/>
      <c r="C12" s="776"/>
      <c r="D12" s="776"/>
      <c r="E12" s="777"/>
      <c r="F12" s="775" t="s">
        <v>1</v>
      </c>
      <c r="G12" s="776"/>
      <c r="H12" s="776"/>
      <c r="I12" s="776"/>
      <c r="J12" s="776"/>
      <c r="K12" s="776"/>
      <c r="L12" s="776"/>
      <c r="M12" s="777"/>
      <c r="N12" s="780" t="s">
        <v>2</v>
      </c>
      <c r="O12" s="780" t="s">
        <v>47</v>
      </c>
      <c r="P12" s="479" t="s">
        <v>4</v>
      </c>
      <c r="Q12" s="780" t="s">
        <v>3</v>
      </c>
    </row>
    <row r="13" spans="1:17" s="243" customFormat="1" ht="18" customHeight="1">
      <c r="A13" s="863"/>
      <c r="B13" s="778"/>
      <c r="C13" s="778"/>
      <c r="D13" s="778"/>
      <c r="E13" s="779"/>
      <c r="F13" s="863"/>
      <c r="G13" s="778"/>
      <c r="H13" s="778"/>
      <c r="I13" s="778"/>
      <c r="J13" s="778"/>
      <c r="K13" s="778"/>
      <c r="L13" s="778"/>
      <c r="M13" s="779"/>
      <c r="N13" s="781"/>
      <c r="O13" s="781"/>
      <c r="P13" s="480" t="s">
        <v>5</v>
      </c>
      <c r="Q13" s="781"/>
    </row>
    <row r="14" spans="1:17" s="237" customFormat="1" ht="15" customHeight="1">
      <c r="A14" s="864">
        <v>1</v>
      </c>
      <c r="B14" s="865"/>
      <c r="C14" s="865"/>
      <c r="D14" s="865"/>
      <c r="E14" s="866"/>
      <c r="F14" s="864">
        <v>2</v>
      </c>
      <c r="G14" s="865"/>
      <c r="H14" s="865"/>
      <c r="I14" s="865"/>
      <c r="J14" s="865"/>
      <c r="K14" s="865"/>
      <c r="L14" s="865"/>
      <c r="M14" s="866"/>
      <c r="N14" s="239">
        <v>3</v>
      </c>
      <c r="O14" s="239"/>
      <c r="P14" s="239">
        <v>4</v>
      </c>
      <c r="Q14" s="239">
        <v>5</v>
      </c>
    </row>
    <row r="15" spans="1:17" s="242" customFormat="1" ht="15" customHeight="1">
      <c r="A15" s="876">
        <v>2</v>
      </c>
      <c r="B15" s="876"/>
      <c r="C15" s="492">
        <v>3</v>
      </c>
      <c r="D15" s="492">
        <v>6</v>
      </c>
      <c r="E15" s="492">
        <v>2</v>
      </c>
      <c r="F15" s="432" t="s">
        <v>14</v>
      </c>
      <c r="G15" s="862" t="s">
        <v>48</v>
      </c>
      <c r="H15" s="862"/>
      <c r="I15" s="862"/>
      <c r="J15" s="862"/>
      <c r="K15" s="862"/>
      <c r="L15" s="862"/>
      <c r="M15" s="901"/>
      <c r="N15" s="256"/>
      <c r="O15" s="256"/>
      <c r="P15" s="256"/>
      <c r="Q15" s="308">
        <f>Q16</f>
        <v>2945700</v>
      </c>
    </row>
    <row r="16" spans="1:17" s="242" customFormat="1" ht="15" customHeight="1">
      <c r="A16" s="891"/>
      <c r="B16" s="891"/>
      <c r="C16" s="408"/>
      <c r="D16" s="408"/>
      <c r="E16" s="408"/>
      <c r="F16" s="435" t="s">
        <v>14</v>
      </c>
      <c r="G16" s="894" t="s">
        <v>78</v>
      </c>
      <c r="H16" s="894"/>
      <c r="I16" s="894"/>
      <c r="J16" s="894"/>
      <c r="K16" s="894"/>
      <c r="L16" s="894"/>
      <c r="M16" s="895"/>
      <c r="N16" s="408"/>
      <c r="O16" s="408"/>
      <c r="P16" s="417"/>
      <c r="Q16" s="434">
        <f>SUM(Q17:Q18)+Q19</f>
        <v>2945700</v>
      </c>
    </row>
    <row r="17" spans="1:21" s="242" customFormat="1" ht="15" customHeight="1">
      <c r="A17" s="891"/>
      <c r="B17" s="891"/>
      <c r="C17" s="408"/>
      <c r="D17" s="408"/>
      <c r="E17" s="408"/>
      <c r="F17" s="493"/>
      <c r="G17" s="309" t="s">
        <v>267</v>
      </c>
      <c r="H17" s="309"/>
      <c r="I17" s="309"/>
      <c r="J17" s="309"/>
      <c r="K17" s="415"/>
      <c r="L17" s="415"/>
      <c r="M17" s="494"/>
      <c r="N17" s="408">
        <v>4</v>
      </c>
      <c r="O17" s="408" t="s">
        <v>55</v>
      </c>
      <c r="P17" s="459">
        <v>650000</v>
      </c>
      <c r="Q17" s="417">
        <f>N17*P17</f>
        <v>2600000</v>
      </c>
    </row>
    <row r="18" spans="1:21" s="242" customFormat="1" ht="15" customHeight="1">
      <c r="A18" s="891"/>
      <c r="B18" s="891"/>
      <c r="C18" s="408"/>
      <c r="D18" s="408"/>
      <c r="E18" s="408"/>
      <c r="F18" s="493"/>
      <c r="G18" s="309" t="s">
        <v>270</v>
      </c>
      <c r="H18" s="309"/>
      <c r="I18" s="309"/>
      <c r="J18" s="309"/>
      <c r="K18" s="415"/>
      <c r="L18" s="415"/>
      <c r="M18" s="494"/>
      <c r="N18" s="408">
        <v>2</v>
      </c>
      <c r="O18" s="408" t="s">
        <v>53</v>
      </c>
      <c r="P18" s="459">
        <v>100000</v>
      </c>
      <c r="Q18" s="417">
        <f>N18*P18</f>
        <v>200000</v>
      </c>
    </row>
    <row r="19" spans="1:21" s="242" customFormat="1" ht="15" customHeight="1">
      <c r="A19" s="891"/>
      <c r="B19" s="891"/>
      <c r="C19" s="408"/>
      <c r="D19" s="408"/>
      <c r="E19" s="408"/>
      <c r="F19" s="493"/>
      <c r="G19" s="309" t="s">
        <v>272</v>
      </c>
      <c r="H19" s="309"/>
      <c r="I19" s="309"/>
      <c r="J19" s="309"/>
      <c r="K19" s="415"/>
      <c r="L19" s="415"/>
      <c r="M19" s="494"/>
      <c r="N19" s="408">
        <v>1</v>
      </c>
      <c r="O19" s="408" t="s">
        <v>55</v>
      </c>
      <c r="P19" s="459">
        <v>145700</v>
      </c>
      <c r="Q19" s="417">
        <f>N19*P19</f>
        <v>145700</v>
      </c>
      <c r="T19" s="282">
        <f>P19+20700</f>
        <v>166400</v>
      </c>
      <c r="U19" s="311"/>
    </row>
    <row r="20" spans="1:21" s="242" customFormat="1" ht="15" customHeight="1">
      <c r="A20" s="891"/>
      <c r="B20" s="891"/>
      <c r="C20" s="408"/>
      <c r="D20" s="408"/>
      <c r="E20" s="408"/>
      <c r="F20" s="493"/>
      <c r="G20" s="309"/>
      <c r="H20" s="309"/>
      <c r="I20" s="309"/>
      <c r="J20" s="309"/>
      <c r="K20" s="415"/>
      <c r="L20" s="415"/>
      <c r="M20" s="494"/>
      <c r="N20" s="408"/>
      <c r="O20" s="408"/>
      <c r="P20" s="459"/>
      <c r="Q20" s="417"/>
      <c r="U20" s="311"/>
    </row>
    <row r="21" spans="1:21" s="242" customFormat="1" ht="15" customHeight="1">
      <c r="A21" s="891"/>
      <c r="B21" s="891"/>
      <c r="C21" s="408"/>
      <c r="D21" s="408"/>
      <c r="E21" s="408"/>
      <c r="F21" s="493"/>
      <c r="G21" s="309"/>
      <c r="H21" s="309"/>
      <c r="I21" s="309"/>
      <c r="J21" s="309"/>
      <c r="K21" s="415"/>
      <c r="L21" s="415"/>
      <c r="M21" s="494"/>
      <c r="N21" s="408"/>
      <c r="O21" s="408"/>
      <c r="P21" s="459"/>
      <c r="Q21" s="417"/>
      <c r="U21" s="311"/>
    </row>
    <row r="22" spans="1:21" s="242" customFormat="1" ht="15" customHeight="1">
      <c r="A22" s="891"/>
      <c r="B22" s="891"/>
      <c r="C22" s="408"/>
      <c r="D22" s="408"/>
      <c r="E22" s="408"/>
      <c r="F22" s="493"/>
      <c r="G22" s="309"/>
      <c r="H22" s="309"/>
      <c r="I22" s="309"/>
      <c r="J22" s="309"/>
      <c r="K22" s="415"/>
      <c r="L22" s="415"/>
      <c r="M22" s="494"/>
      <c r="N22" s="408"/>
      <c r="O22" s="408"/>
      <c r="P22" s="459"/>
      <c r="Q22" s="417"/>
    </row>
    <row r="23" spans="1:21" s="242" customFormat="1" ht="15" customHeight="1">
      <c r="A23" s="903"/>
      <c r="B23" s="903"/>
      <c r="C23" s="438"/>
      <c r="D23" s="438"/>
      <c r="E23" s="438"/>
      <c r="F23" s="495"/>
      <c r="G23" s="376"/>
      <c r="H23" s="376"/>
      <c r="I23" s="376"/>
      <c r="J23" s="376"/>
      <c r="K23" s="376"/>
      <c r="L23" s="376"/>
      <c r="M23" s="461"/>
      <c r="N23" s="462"/>
      <c r="O23" s="462"/>
      <c r="P23" s="462"/>
      <c r="Q23" s="462"/>
    </row>
    <row r="24" spans="1:21" s="242" customFormat="1" ht="15" customHeight="1">
      <c r="A24" s="889"/>
      <c r="B24" s="889"/>
      <c r="C24" s="426"/>
      <c r="D24" s="426"/>
      <c r="E24" s="426"/>
      <c r="F24" s="760" t="s">
        <v>163</v>
      </c>
      <c r="G24" s="761"/>
      <c r="H24" s="761"/>
      <c r="I24" s="761"/>
      <c r="J24" s="761"/>
      <c r="K24" s="761"/>
      <c r="L24" s="761"/>
      <c r="M24" s="764"/>
      <c r="N24" s="442"/>
      <c r="O24" s="442"/>
      <c r="P24" s="442"/>
      <c r="Q24" s="429">
        <f>SUM(Q17:Q18)+Q19</f>
        <v>2945700</v>
      </c>
    </row>
    <row r="25" spans="1:21" s="242" customFormat="1" ht="16.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5"/>
    </row>
    <row r="26" spans="1:21" s="242" customFormat="1" ht="16.5">
      <c r="A26" s="283"/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5"/>
    </row>
    <row r="27" spans="1:21" s="242" customFormat="1" ht="16.5">
      <c r="A27" s="283"/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5"/>
    </row>
    <row r="28" spans="1:21" s="242" customFormat="1" ht="16.5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 t="s">
        <v>553</v>
      </c>
      <c r="Q28" s="285"/>
    </row>
    <row r="29" spans="1:21" s="242" customFormat="1" ht="16.5">
      <c r="A29" s="283"/>
      <c r="B29" s="284"/>
      <c r="C29" s="284"/>
      <c r="D29" s="284"/>
      <c r="E29" s="284"/>
      <c r="F29" s="284"/>
      <c r="G29" s="286" t="s">
        <v>168</v>
      </c>
      <c r="H29" s="284"/>
      <c r="I29" s="284"/>
      <c r="J29" s="284"/>
      <c r="K29" s="284"/>
      <c r="L29" s="284"/>
      <c r="M29" s="284"/>
      <c r="N29" s="284"/>
      <c r="O29" s="284"/>
      <c r="P29" s="469" t="s">
        <v>193</v>
      </c>
      <c r="Q29" s="285"/>
    </row>
    <row r="30" spans="1:21" s="242" customFormat="1" ht="16.5">
      <c r="A30" s="283"/>
      <c r="B30" s="284"/>
      <c r="C30" s="284"/>
      <c r="D30" s="284"/>
      <c r="E30" s="284"/>
      <c r="F30" s="284"/>
      <c r="G30" s="286" t="s">
        <v>298</v>
      </c>
      <c r="H30" s="284"/>
      <c r="I30" s="284"/>
      <c r="J30" s="284"/>
      <c r="K30" s="284"/>
      <c r="L30" s="284"/>
      <c r="M30" s="284"/>
      <c r="N30" s="284"/>
      <c r="O30" s="284"/>
      <c r="P30" s="284"/>
      <c r="Q30" s="285"/>
    </row>
    <row r="31" spans="1:21" s="242" customFormat="1" ht="16.5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5"/>
    </row>
    <row r="32" spans="1:21" s="242" customFormat="1" ht="16.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/>
    </row>
    <row r="33" spans="1:17" s="242" customFormat="1" ht="16.5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5"/>
    </row>
    <row r="34" spans="1:17" s="242" customFormat="1" ht="16.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5"/>
    </row>
    <row r="35" spans="1:17" s="242" customFormat="1" ht="16.5">
      <c r="A35" s="283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5"/>
    </row>
    <row r="36" spans="1:17" s="242" customFormat="1" ht="16.5">
      <c r="A36" s="283"/>
      <c r="B36" s="284"/>
      <c r="C36" s="284"/>
      <c r="D36" s="284"/>
      <c r="E36" s="284"/>
      <c r="F36" s="284"/>
      <c r="G36" s="303" t="s">
        <v>304</v>
      </c>
      <c r="H36" s="284"/>
      <c r="I36" s="284"/>
      <c r="J36" s="284"/>
      <c r="K36" s="284"/>
      <c r="L36" s="284"/>
      <c r="M36" s="284"/>
      <c r="N36" s="284"/>
      <c r="O36" s="284"/>
      <c r="P36" s="381" t="s">
        <v>551</v>
      </c>
      <c r="Q36" s="285"/>
    </row>
    <row r="37" spans="1:17" s="242" customFormat="1" ht="16.5">
      <c r="A37" s="287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9"/>
    </row>
    <row r="38" spans="1:17" s="242" customFormat="1" ht="16.5"/>
    <row r="39" spans="1:17" s="242" customFormat="1" ht="16.5"/>
    <row r="40" spans="1:17" s="242" customFormat="1" ht="16.5"/>
    <row r="41" spans="1:17" s="242" customFormat="1" ht="16.5"/>
    <row r="42" spans="1:17" s="242" customFormat="1" ht="16.5"/>
    <row r="43" spans="1:17" s="242" customFormat="1" ht="16.5"/>
    <row r="44" spans="1:17" s="242" customFormat="1" ht="16.5"/>
    <row r="45" spans="1:17" s="242" customFormat="1" ht="16.5"/>
    <row r="46" spans="1:17" s="242" customFormat="1" ht="16.5"/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</sheetData>
  <mergeCells count="25">
    <mergeCell ref="A1:Q1"/>
    <mergeCell ref="A2:Q2"/>
    <mergeCell ref="A3:Q3"/>
    <mergeCell ref="J5:Q5"/>
    <mergeCell ref="F24:M24"/>
    <mergeCell ref="A19:B19"/>
    <mergeCell ref="A20:B20"/>
    <mergeCell ref="A21:B21"/>
    <mergeCell ref="A23:B23"/>
    <mergeCell ref="A24:B24"/>
    <mergeCell ref="A22:B22"/>
    <mergeCell ref="N12:N13"/>
    <mergeCell ref="A17:B17"/>
    <mergeCell ref="O12:O13"/>
    <mergeCell ref="Q12:Q13"/>
    <mergeCell ref="J7:Q7"/>
    <mergeCell ref="A12:E13"/>
    <mergeCell ref="F12:M13"/>
    <mergeCell ref="A18:B18"/>
    <mergeCell ref="G16:M16"/>
    <mergeCell ref="F14:M14"/>
    <mergeCell ref="A14:E14"/>
    <mergeCell ref="G15:M15"/>
    <mergeCell ref="A15:B15"/>
    <mergeCell ref="A16:B16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1:U345"/>
  <sheetViews>
    <sheetView view="pageBreakPreview" topLeftCell="C17" zoomScaleSheetLayoutView="100" workbookViewId="0">
      <selection activeCell="O42" sqref="O42"/>
    </sheetView>
  </sheetViews>
  <sheetFormatPr defaultRowHeight="15"/>
  <cols>
    <col min="1" max="2" width="0" hidden="1" customWidth="1"/>
    <col min="3" max="3" width="2" customWidth="1"/>
    <col min="4" max="4" width="0.7109375" customWidth="1"/>
    <col min="5" max="5" width="2.42578125" customWidth="1"/>
    <col min="6" max="6" width="2.7109375" customWidth="1"/>
    <col min="7" max="7" width="2.42578125" customWidth="1"/>
    <col min="8" max="8" width="2" customWidth="1"/>
    <col min="9" max="9" width="18.85546875" customWidth="1"/>
    <col min="10" max="10" width="1.5703125" hidden="1" customWidth="1"/>
    <col min="11" max="11" width="2.42578125" customWidth="1"/>
    <col min="12" max="15" width="5" customWidth="1"/>
    <col min="16" max="16" width="8.42578125" customWidth="1"/>
    <col min="17" max="17" width="8.140625" customWidth="1"/>
    <col min="18" max="18" width="15" customWidth="1"/>
    <col min="19" max="19" width="16.28515625" customWidth="1"/>
    <col min="21" max="21" width="12.28515625" bestFit="1" customWidth="1"/>
    <col min="22" max="22" width="10" bestFit="1" customWidth="1"/>
  </cols>
  <sheetData>
    <row r="1" spans="3:19" s="99" customFormat="1" ht="15.75">
      <c r="C1" s="817" t="s">
        <v>6</v>
      </c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</row>
    <row r="2" spans="3:19" s="99" customFormat="1" ht="15.75">
      <c r="C2" s="817" t="s">
        <v>292</v>
      </c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</row>
    <row r="3" spans="3:19" s="99" customFormat="1" ht="15.75">
      <c r="C3" s="817" t="s">
        <v>211</v>
      </c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</row>
    <row r="4" spans="3:19" s="30" customFormat="1"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</row>
    <row r="5" spans="3:19" s="33" customFormat="1" ht="12.75">
      <c r="C5" s="33" t="s">
        <v>7</v>
      </c>
      <c r="D5" s="94" t="s">
        <v>10</v>
      </c>
      <c r="E5" s="94"/>
      <c r="F5" s="94"/>
      <c r="G5" s="94"/>
      <c r="H5" s="94"/>
      <c r="I5" s="95"/>
      <c r="J5" s="95" t="s">
        <v>12</v>
      </c>
      <c r="K5" s="95" t="s">
        <v>12</v>
      </c>
      <c r="L5" s="818" t="s">
        <v>56</v>
      </c>
      <c r="M5" s="818"/>
      <c r="N5" s="818"/>
      <c r="O5" s="818"/>
      <c r="P5" s="818"/>
      <c r="Q5" s="818"/>
      <c r="R5" s="818"/>
      <c r="S5" s="818"/>
    </row>
    <row r="6" spans="3:19" s="33" customFormat="1" ht="12.75">
      <c r="C6" s="33" t="s">
        <v>8</v>
      </c>
      <c r="D6" s="94" t="s">
        <v>11</v>
      </c>
      <c r="E6" s="94"/>
      <c r="F6" s="94"/>
      <c r="G6" s="94"/>
      <c r="H6" s="94"/>
      <c r="I6" s="95"/>
      <c r="J6" s="95" t="s">
        <v>12</v>
      </c>
      <c r="K6" s="95" t="s">
        <v>12</v>
      </c>
      <c r="L6" s="94" t="s">
        <v>323</v>
      </c>
      <c r="M6" s="94"/>
      <c r="N6" s="94"/>
      <c r="O6" s="94"/>
      <c r="P6" s="94"/>
      <c r="Q6" s="94"/>
      <c r="R6" s="94"/>
      <c r="S6" s="94"/>
    </row>
    <row r="7" spans="3:19" s="33" customFormat="1" ht="12.75">
      <c r="C7" s="33" t="s">
        <v>9</v>
      </c>
      <c r="D7" s="94" t="s">
        <v>22</v>
      </c>
      <c r="E7" s="94"/>
      <c r="F7" s="94"/>
      <c r="G7" s="94"/>
      <c r="H7" s="94"/>
      <c r="I7" s="95"/>
      <c r="J7" s="95" t="s">
        <v>12</v>
      </c>
      <c r="K7" s="95" t="s">
        <v>12</v>
      </c>
      <c r="L7" s="818" t="s">
        <v>76</v>
      </c>
      <c r="M7" s="818"/>
      <c r="N7" s="818"/>
      <c r="O7" s="818"/>
      <c r="P7" s="818"/>
      <c r="Q7" s="818"/>
      <c r="R7" s="818"/>
      <c r="S7" s="818"/>
    </row>
    <row r="8" spans="3:19" s="33" customFormat="1" ht="12.75">
      <c r="C8" s="96" t="s">
        <v>219</v>
      </c>
      <c r="D8" s="94" t="s">
        <v>216</v>
      </c>
      <c r="E8" s="94"/>
      <c r="F8" s="94"/>
      <c r="G8" s="94"/>
      <c r="H8" s="94"/>
      <c r="I8" s="95"/>
      <c r="J8" s="95"/>
      <c r="K8" s="95" t="s">
        <v>12</v>
      </c>
      <c r="L8" s="231" t="s">
        <v>139</v>
      </c>
      <c r="M8" s="231"/>
      <c r="N8" s="231"/>
      <c r="O8" s="231"/>
      <c r="P8" s="231"/>
      <c r="Q8" s="231"/>
      <c r="R8" s="231"/>
      <c r="S8" s="231"/>
    </row>
    <row r="9" spans="3:19" s="33" customFormat="1" ht="12.75">
      <c r="C9" s="96" t="s">
        <v>228</v>
      </c>
      <c r="D9" s="94" t="s">
        <v>229</v>
      </c>
      <c r="E9" s="94"/>
      <c r="F9" s="94"/>
      <c r="G9" s="94"/>
      <c r="H9" s="94"/>
      <c r="I9" s="95"/>
      <c r="J9" s="95"/>
      <c r="K9" s="95" t="s">
        <v>12</v>
      </c>
      <c r="L9" s="231" t="s">
        <v>320</v>
      </c>
      <c r="M9" s="231"/>
      <c r="N9" s="231"/>
      <c r="O9" s="231"/>
      <c r="P9" s="231"/>
      <c r="Q9" s="231"/>
      <c r="R9" s="231"/>
      <c r="S9" s="231"/>
    </row>
    <row r="10" spans="3:19" s="33" customFormat="1" ht="12.75">
      <c r="C10" s="96" t="s">
        <v>230</v>
      </c>
      <c r="D10" s="94" t="s">
        <v>210</v>
      </c>
      <c r="E10" s="94"/>
      <c r="F10" s="94"/>
      <c r="G10" s="94"/>
      <c r="H10" s="94"/>
      <c r="I10" s="95"/>
      <c r="J10" s="95"/>
      <c r="K10" s="95" t="s">
        <v>12</v>
      </c>
      <c r="L10" s="231" t="s">
        <v>440</v>
      </c>
      <c r="M10" s="231"/>
      <c r="N10" s="231"/>
      <c r="O10" s="231"/>
      <c r="P10" s="231"/>
      <c r="Q10" s="231"/>
      <c r="R10" s="231"/>
      <c r="S10" s="231"/>
    </row>
    <row r="11" spans="3:19" s="33" customFormat="1" ht="7.5" customHeight="1">
      <c r="C11" s="96"/>
      <c r="D11" s="94"/>
      <c r="E11" s="94"/>
      <c r="F11" s="94"/>
      <c r="G11" s="94"/>
      <c r="H11" s="94"/>
      <c r="I11" s="95"/>
      <c r="J11" s="95"/>
      <c r="K11" s="95"/>
      <c r="L11" s="231"/>
      <c r="M11" s="231"/>
      <c r="N11" s="231"/>
      <c r="O11" s="231"/>
      <c r="P11" s="231"/>
      <c r="Q11" s="231"/>
      <c r="R11" s="231"/>
      <c r="S11" s="231"/>
    </row>
    <row r="12" spans="3:19" s="33" customFormat="1" ht="12.75">
      <c r="C12" s="98" t="s">
        <v>221</v>
      </c>
      <c r="D12" s="94"/>
      <c r="E12" s="94"/>
      <c r="F12" s="94"/>
      <c r="G12" s="94"/>
      <c r="H12" s="94"/>
      <c r="I12" s="95"/>
      <c r="J12" s="95"/>
      <c r="K12" s="95"/>
      <c r="L12" s="231"/>
      <c r="M12" s="231"/>
      <c r="N12" s="231"/>
      <c r="O12" s="231"/>
      <c r="P12" s="231"/>
      <c r="Q12" s="231"/>
      <c r="R12" s="231"/>
      <c r="S12" s="231"/>
    </row>
    <row r="13" spans="3:19" s="33" customFormat="1" ht="4.5" customHeight="1"/>
    <row r="14" spans="3:19" s="33" customFormat="1" ht="12.75">
      <c r="C14" s="819" t="s">
        <v>0</v>
      </c>
      <c r="D14" s="820"/>
      <c r="E14" s="820"/>
      <c r="F14" s="820"/>
      <c r="G14" s="821"/>
      <c r="H14" s="819" t="s">
        <v>1</v>
      </c>
      <c r="I14" s="820"/>
      <c r="J14" s="820"/>
      <c r="K14" s="820"/>
      <c r="L14" s="820"/>
      <c r="M14" s="820"/>
      <c r="N14" s="820"/>
      <c r="O14" s="821"/>
      <c r="P14" s="825" t="s">
        <v>2</v>
      </c>
      <c r="Q14" s="825" t="s">
        <v>47</v>
      </c>
      <c r="R14" s="229" t="s">
        <v>4</v>
      </c>
      <c r="S14" s="825" t="s">
        <v>3</v>
      </c>
    </row>
    <row r="15" spans="3:19" s="33" customFormat="1" ht="12.75">
      <c r="C15" s="822"/>
      <c r="D15" s="823"/>
      <c r="E15" s="823"/>
      <c r="F15" s="823"/>
      <c r="G15" s="824"/>
      <c r="H15" s="822"/>
      <c r="I15" s="823"/>
      <c r="J15" s="823"/>
      <c r="K15" s="823"/>
      <c r="L15" s="823"/>
      <c r="M15" s="823"/>
      <c r="N15" s="823"/>
      <c r="O15" s="824"/>
      <c r="P15" s="826"/>
      <c r="Q15" s="826"/>
      <c r="R15" s="230" t="s">
        <v>5</v>
      </c>
      <c r="S15" s="826"/>
    </row>
    <row r="16" spans="3:19" s="33" customFormat="1" ht="12.75">
      <c r="C16" s="827">
        <v>1</v>
      </c>
      <c r="D16" s="828"/>
      <c r="E16" s="828"/>
      <c r="F16" s="828"/>
      <c r="G16" s="829"/>
      <c r="H16" s="226"/>
      <c r="I16" s="227">
        <v>2</v>
      </c>
      <c r="J16" s="227"/>
      <c r="K16" s="227"/>
      <c r="L16" s="227"/>
      <c r="M16" s="227"/>
      <c r="N16" s="227"/>
      <c r="O16" s="228"/>
      <c r="P16" s="46">
        <v>3</v>
      </c>
      <c r="Q16" s="46"/>
      <c r="R16" s="46">
        <v>4</v>
      </c>
      <c r="S16" s="46">
        <v>5</v>
      </c>
    </row>
    <row r="17" spans="1:21" s="33" customFormat="1" ht="18" customHeight="1">
      <c r="A17" s="37"/>
      <c r="B17" s="37"/>
      <c r="C17" s="830">
        <v>2</v>
      </c>
      <c r="D17" s="830"/>
      <c r="E17" s="233">
        <v>2</v>
      </c>
      <c r="F17" s="233">
        <v>15</v>
      </c>
      <c r="G17" s="233">
        <v>2</v>
      </c>
      <c r="H17" s="56" t="s">
        <v>14</v>
      </c>
      <c r="I17" s="831" t="s">
        <v>48</v>
      </c>
      <c r="J17" s="831"/>
      <c r="K17" s="831"/>
      <c r="L17" s="57"/>
      <c r="M17" s="57"/>
      <c r="N17" s="57"/>
      <c r="O17" s="58"/>
      <c r="P17" s="59"/>
      <c r="Q17" s="59"/>
      <c r="R17" s="59"/>
      <c r="S17" s="60">
        <f>SUM(S18)</f>
        <v>39525000</v>
      </c>
    </row>
    <row r="18" spans="1:21" s="33" customFormat="1" ht="12.75" customHeight="1">
      <c r="C18" s="814"/>
      <c r="D18" s="814"/>
      <c r="E18" s="232"/>
      <c r="F18" s="232"/>
      <c r="G18" s="232"/>
      <c r="H18" s="224"/>
      <c r="I18" s="104" t="s">
        <v>57</v>
      </c>
      <c r="J18" s="104"/>
      <c r="K18" s="105"/>
      <c r="L18" s="105"/>
      <c r="M18" s="105"/>
      <c r="N18" s="105"/>
      <c r="O18" s="225"/>
      <c r="P18" s="232"/>
      <c r="Q18" s="232"/>
      <c r="R18" s="106"/>
      <c r="S18" s="107">
        <f>SUM(S19:S21)</f>
        <v>39525000</v>
      </c>
      <c r="U18" s="54"/>
    </row>
    <row r="19" spans="1:21" s="33" customFormat="1" ht="12.75" customHeight="1">
      <c r="C19" s="814"/>
      <c r="D19" s="814"/>
      <c r="E19" s="232"/>
      <c r="F19" s="232"/>
      <c r="G19" s="232"/>
      <c r="H19" s="224"/>
      <c r="I19" s="108" t="s">
        <v>280</v>
      </c>
      <c r="J19" s="104"/>
      <c r="K19" s="105"/>
      <c r="L19" s="105"/>
      <c r="M19" s="105"/>
      <c r="N19" s="105"/>
      <c r="O19" s="225"/>
      <c r="P19" s="232">
        <v>454</v>
      </c>
      <c r="Q19" s="232" t="s">
        <v>282</v>
      </c>
      <c r="R19" s="106">
        <v>55000</v>
      </c>
      <c r="S19" s="106">
        <f>P19*R19</f>
        <v>24970000</v>
      </c>
      <c r="U19" s="54"/>
    </row>
    <row r="20" spans="1:21" s="33" customFormat="1" ht="12.75" customHeight="1">
      <c r="C20" s="224"/>
      <c r="D20" s="225"/>
      <c r="E20" s="232"/>
      <c r="F20" s="232"/>
      <c r="G20" s="232"/>
      <c r="H20" s="224"/>
      <c r="I20" s="108" t="s">
        <v>281</v>
      </c>
      <c r="J20" s="104"/>
      <c r="K20" s="105"/>
      <c r="L20" s="105"/>
      <c r="M20" s="105"/>
      <c r="N20" s="105"/>
      <c r="O20" s="225"/>
      <c r="P20" s="232">
        <v>186</v>
      </c>
      <c r="Q20" s="232" t="s">
        <v>282</v>
      </c>
      <c r="R20" s="106">
        <v>65000</v>
      </c>
      <c r="S20" s="106">
        <f t="shared" ref="S20:S21" si="0">P20*R20</f>
        <v>12090000</v>
      </c>
      <c r="U20" s="54"/>
    </row>
    <row r="21" spans="1:21" s="33" customFormat="1" ht="12.75" customHeight="1">
      <c r="C21" s="224"/>
      <c r="D21" s="225"/>
      <c r="E21" s="232"/>
      <c r="F21" s="232"/>
      <c r="G21" s="232"/>
      <c r="H21" s="224"/>
      <c r="I21" s="108" t="s">
        <v>325</v>
      </c>
      <c r="J21" s="104"/>
      <c r="K21" s="105"/>
      <c r="L21" s="105"/>
      <c r="M21" s="105"/>
      <c r="N21" s="105"/>
      <c r="O21" s="225"/>
      <c r="P21" s="232">
        <v>29</v>
      </c>
      <c r="Q21" s="232" t="s">
        <v>282</v>
      </c>
      <c r="R21" s="106">
        <v>85000</v>
      </c>
      <c r="S21" s="106">
        <f t="shared" si="0"/>
        <v>2465000</v>
      </c>
      <c r="U21" s="54"/>
    </row>
    <row r="22" spans="1:21" s="33" customFormat="1" ht="8.25" customHeight="1">
      <c r="C22" s="816"/>
      <c r="D22" s="816"/>
      <c r="E22" s="235"/>
      <c r="F22" s="235"/>
      <c r="G22" s="235"/>
      <c r="H22" s="222"/>
      <c r="I22" s="63"/>
      <c r="J22" s="63"/>
      <c r="K22" s="64"/>
      <c r="L22" s="64"/>
      <c r="M22" s="64"/>
      <c r="N22" s="64"/>
      <c r="O22" s="223"/>
      <c r="P22" s="235"/>
      <c r="Q22" s="235"/>
      <c r="R22" s="66"/>
      <c r="S22" s="66"/>
    </row>
    <row r="23" spans="1:21" s="33" customFormat="1" ht="15" customHeight="1">
      <c r="C23" s="814">
        <v>2</v>
      </c>
      <c r="D23" s="814"/>
      <c r="E23" s="232">
        <v>2</v>
      </c>
      <c r="F23" s="232">
        <v>15</v>
      </c>
      <c r="G23" s="232">
        <v>2</v>
      </c>
      <c r="H23" s="109" t="s">
        <v>14</v>
      </c>
      <c r="I23" s="236" t="s">
        <v>60</v>
      </c>
      <c r="J23" s="104"/>
      <c r="K23" s="105"/>
      <c r="L23" s="105"/>
      <c r="M23" s="105"/>
      <c r="N23" s="105"/>
      <c r="O23" s="225"/>
      <c r="P23" s="232"/>
      <c r="Q23" s="232"/>
      <c r="R23" s="106"/>
      <c r="S23" s="107">
        <f>SUM(S24:S63)</f>
        <v>126442990.40000001</v>
      </c>
      <c r="U23" s="54"/>
    </row>
    <row r="24" spans="1:21" s="33" customFormat="1" ht="12.75" customHeight="1">
      <c r="C24" s="814"/>
      <c r="D24" s="814"/>
      <c r="E24" s="232"/>
      <c r="F24" s="232"/>
      <c r="G24" s="232"/>
      <c r="H24" s="224"/>
      <c r="I24" s="104" t="s">
        <v>326</v>
      </c>
      <c r="J24" s="104"/>
      <c r="K24" s="104"/>
      <c r="L24" s="104"/>
      <c r="M24" s="104"/>
      <c r="N24" s="104"/>
      <c r="O24" s="110"/>
      <c r="P24" s="144">
        <v>66</v>
      </c>
      <c r="Q24" s="232" t="s">
        <v>182</v>
      </c>
      <c r="R24" s="106">
        <v>225000</v>
      </c>
      <c r="S24" s="106">
        <f t="shared" ref="S24:S63" si="1">P24*R24</f>
        <v>14850000</v>
      </c>
      <c r="U24" s="50"/>
    </row>
    <row r="25" spans="1:21" s="33" customFormat="1" ht="12.75" customHeight="1">
      <c r="C25" s="814"/>
      <c r="D25" s="814"/>
      <c r="E25" s="232"/>
      <c r="F25" s="232"/>
      <c r="G25" s="232"/>
      <c r="H25" s="224"/>
      <c r="I25" s="104" t="s">
        <v>327</v>
      </c>
      <c r="J25" s="104"/>
      <c r="K25" s="104"/>
      <c r="L25" s="104"/>
      <c r="M25" s="104"/>
      <c r="N25" s="104"/>
      <c r="O25" s="110"/>
      <c r="P25" s="144">
        <v>25.96</v>
      </c>
      <c r="Q25" s="232" t="s">
        <v>182</v>
      </c>
      <c r="R25" s="106">
        <v>225000</v>
      </c>
      <c r="S25" s="106">
        <f>P25*R25</f>
        <v>5841000</v>
      </c>
      <c r="U25" s="54"/>
    </row>
    <row r="26" spans="1:21" s="33" customFormat="1" ht="12.75" customHeight="1">
      <c r="C26" s="814"/>
      <c r="D26" s="814"/>
      <c r="E26" s="232"/>
      <c r="F26" s="232"/>
      <c r="G26" s="232"/>
      <c r="H26" s="224"/>
      <c r="I26" s="104" t="s">
        <v>62</v>
      </c>
      <c r="J26" s="104"/>
      <c r="K26" s="104"/>
      <c r="L26" s="104"/>
      <c r="M26" s="104"/>
      <c r="N26" s="104"/>
      <c r="O26" s="110"/>
      <c r="P26" s="144">
        <v>437</v>
      </c>
      <c r="Q26" s="232" t="s">
        <v>63</v>
      </c>
      <c r="R26" s="106">
        <v>65000</v>
      </c>
      <c r="S26" s="106">
        <f t="shared" si="1"/>
        <v>28405000</v>
      </c>
      <c r="U26" s="54">
        <v>129014700</v>
      </c>
    </row>
    <row r="27" spans="1:21" s="33" customFormat="1" ht="12.75" customHeight="1">
      <c r="C27" s="814"/>
      <c r="D27" s="814"/>
      <c r="E27" s="232"/>
      <c r="F27" s="232"/>
      <c r="G27" s="232"/>
      <c r="H27" s="224"/>
      <c r="I27" s="104" t="s">
        <v>328</v>
      </c>
      <c r="J27" s="104"/>
      <c r="K27" s="104"/>
      <c r="L27" s="104"/>
      <c r="M27" s="104"/>
      <c r="N27" s="104"/>
      <c r="O27" s="110"/>
      <c r="P27" s="144">
        <v>30</v>
      </c>
      <c r="Q27" s="232" t="s">
        <v>182</v>
      </c>
      <c r="R27" s="106">
        <v>85000</v>
      </c>
      <c r="S27" s="106">
        <f t="shared" si="1"/>
        <v>2550000</v>
      </c>
      <c r="U27" s="53">
        <v>510000</v>
      </c>
    </row>
    <row r="28" spans="1:21" s="33" customFormat="1" ht="12.75" customHeight="1">
      <c r="C28" s="814"/>
      <c r="D28" s="814"/>
      <c r="E28" s="232"/>
      <c r="F28" s="232"/>
      <c r="G28" s="232"/>
      <c r="H28" s="224"/>
      <c r="I28" s="104" t="s">
        <v>329</v>
      </c>
      <c r="J28" s="104"/>
      <c r="K28" s="104"/>
      <c r="L28" s="104"/>
      <c r="M28" s="104"/>
      <c r="N28" s="104"/>
      <c r="O28" s="110"/>
      <c r="P28" s="135">
        <v>26704</v>
      </c>
      <c r="Q28" s="232" t="s">
        <v>365</v>
      </c>
      <c r="R28" s="106">
        <v>750</v>
      </c>
      <c r="S28" s="106">
        <f t="shared" si="1"/>
        <v>20028000</v>
      </c>
      <c r="U28" s="54">
        <f>SUM(U26:U27)</f>
        <v>129524700</v>
      </c>
    </row>
    <row r="29" spans="1:21" s="33" customFormat="1" ht="12.75" customHeight="1">
      <c r="C29" s="814"/>
      <c r="D29" s="814"/>
      <c r="E29" s="232"/>
      <c r="F29" s="232"/>
      <c r="G29" s="232"/>
      <c r="H29" s="224"/>
      <c r="I29" s="104" t="s">
        <v>330</v>
      </c>
      <c r="J29" s="104"/>
      <c r="K29" s="104"/>
      <c r="L29" s="104"/>
      <c r="M29" s="104"/>
      <c r="N29" s="104"/>
      <c r="O29" s="110"/>
      <c r="P29" s="144">
        <v>31.1</v>
      </c>
      <c r="Q29" s="232" t="s">
        <v>366</v>
      </c>
      <c r="R29" s="106">
        <v>250000</v>
      </c>
      <c r="S29" s="106">
        <f t="shared" si="1"/>
        <v>7775000</v>
      </c>
    </row>
    <row r="30" spans="1:21" s="33" customFormat="1" ht="12.75" customHeight="1">
      <c r="C30" s="814"/>
      <c r="D30" s="814"/>
      <c r="E30" s="232"/>
      <c r="F30" s="232"/>
      <c r="G30" s="232"/>
      <c r="H30" s="224"/>
      <c r="I30" s="104" t="s">
        <v>331</v>
      </c>
      <c r="J30" s="104"/>
      <c r="K30" s="104"/>
      <c r="L30" s="104"/>
      <c r="M30" s="104"/>
      <c r="N30" s="104"/>
      <c r="O30" s="110"/>
      <c r="P30" s="144">
        <v>19</v>
      </c>
      <c r="Q30" s="232" t="s">
        <v>366</v>
      </c>
      <c r="R30" s="106">
        <v>60000</v>
      </c>
      <c r="S30" s="106">
        <f t="shared" si="1"/>
        <v>1140000</v>
      </c>
    </row>
    <row r="31" spans="1:21" s="33" customFormat="1" ht="12.75" customHeight="1">
      <c r="C31" s="814"/>
      <c r="D31" s="814"/>
      <c r="E31" s="232"/>
      <c r="F31" s="232"/>
      <c r="G31" s="232"/>
      <c r="H31" s="224"/>
      <c r="I31" s="104" t="s">
        <v>332</v>
      </c>
      <c r="J31" s="104"/>
      <c r="K31" s="104"/>
      <c r="L31" s="104"/>
      <c r="M31" s="104"/>
      <c r="N31" s="104"/>
      <c r="O31" s="110"/>
      <c r="P31" s="144">
        <v>90</v>
      </c>
      <c r="Q31" s="232" t="s">
        <v>182</v>
      </c>
      <c r="R31" s="106">
        <v>70000</v>
      </c>
      <c r="S31" s="106">
        <f t="shared" si="1"/>
        <v>6300000</v>
      </c>
    </row>
    <row r="32" spans="1:21" s="33" customFormat="1" ht="12.75" customHeight="1">
      <c r="C32" s="814"/>
      <c r="D32" s="814"/>
      <c r="E32" s="232"/>
      <c r="F32" s="232"/>
      <c r="G32" s="232"/>
      <c r="H32" s="224"/>
      <c r="I32" s="104" t="s">
        <v>333</v>
      </c>
      <c r="J32" s="104"/>
      <c r="K32" s="104"/>
      <c r="L32" s="104"/>
      <c r="M32" s="104"/>
      <c r="N32" s="104"/>
      <c r="O32" s="110"/>
      <c r="P32" s="144">
        <v>0.48</v>
      </c>
      <c r="Q32" s="232" t="s">
        <v>182</v>
      </c>
      <c r="R32" s="106">
        <v>4000000</v>
      </c>
      <c r="S32" s="145">
        <f t="shared" si="1"/>
        <v>1920000</v>
      </c>
    </row>
    <row r="33" spans="3:19" s="33" customFormat="1" ht="12.75" customHeight="1">
      <c r="C33" s="814"/>
      <c r="D33" s="814"/>
      <c r="E33" s="232"/>
      <c r="F33" s="232"/>
      <c r="G33" s="232"/>
      <c r="H33" s="224"/>
      <c r="I33" s="104" t="s">
        <v>334</v>
      </c>
      <c r="J33" s="104"/>
      <c r="K33" s="104"/>
      <c r="L33" s="104"/>
      <c r="M33" s="104"/>
      <c r="N33" s="104"/>
      <c r="O33" s="110"/>
      <c r="P33" s="144">
        <v>3.17</v>
      </c>
      <c r="Q33" s="232" t="s">
        <v>182</v>
      </c>
      <c r="R33" s="106">
        <v>4000000</v>
      </c>
      <c r="S33" s="106">
        <f t="shared" si="1"/>
        <v>12680000</v>
      </c>
    </row>
    <row r="34" spans="3:19" s="33" customFormat="1" ht="12.75" customHeight="1">
      <c r="C34" s="814"/>
      <c r="D34" s="814"/>
      <c r="E34" s="232"/>
      <c r="F34" s="232"/>
      <c r="G34" s="232"/>
      <c r="H34" s="224"/>
      <c r="I34" s="104" t="s">
        <v>335</v>
      </c>
      <c r="J34" s="104"/>
      <c r="K34" s="104"/>
      <c r="L34" s="104"/>
      <c r="M34" s="104"/>
      <c r="N34" s="104"/>
      <c r="O34" s="110"/>
      <c r="P34" s="144">
        <v>1.45</v>
      </c>
      <c r="Q34" s="232" t="s">
        <v>367</v>
      </c>
      <c r="R34" s="106">
        <v>4000000</v>
      </c>
      <c r="S34" s="146">
        <v>5790.4</v>
      </c>
    </row>
    <row r="35" spans="3:19" s="33" customFormat="1" ht="12.75" customHeight="1">
      <c r="C35" s="814"/>
      <c r="D35" s="814"/>
      <c r="E35" s="232"/>
      <c r="F35" s="232"/>
      <c r="G35" s="232"/>
      <c r="H35" s="224"/>
      <c r="I35" s="104" t="s">
        <v>336</v>
      </c>
      <c r="J35" s="104"/>
      <c r="K35" s="104"/>
      <c r="L35" s="104"/>
      <c r="M35" s="104"/>
      <c r="N35" s="104"/>
      <c r="O35" s="110"/>
      <c r="P35" s="144">
        <v>8</v>
      </c>
      <c r="Q35" s="232" t="s">
        <v>368</v>
      </c>
      <c r="R35" s="106">
        <v>25000</v>
      </c>
      <c r="S35" s="106">
        <f t="shared" ref="S35:S62" si="2">P35*R35</f>
        <v>200000</v>
      </c>
    </row>
    <row r="36" spans="3:19" s="33" customFormat="1" ht="12.75" customHeight="1">
      <c r="C36" s="814"/>
      <c r="D36" s="814"/>
      <c r="E36" s="232"/>
      <c r="F36" s="232"/>
      <c r="G36" s="232"/>
      <c r="H36" s="224"/>
      <c r="I36" s="104" t="s">
        <v>337</v>
      </c>
      <c r="J36" s="104"/>
      <c r="K36" s="104"/>
      <c r="L36" s="104"/>
      <c r="M36" s="104"/>
      <c r="N36" s="104"/>
      <c r="O36" s="110"/>
      <c r="P36" s="144">
        <v>163</v>
      </c>
      <c r="Q36" s="232" t="s">
        <v>369</v>
      </c>
      <c r="R36" s="106">
        <v>45500</v>
      </c>
      <c r="S36" s="106">
        <f t="shared" si="2"/>
        <v>7416500</v>
      </c>
    </row>
    <row r="37" spans="3:19" s="33" customFormat="1" ht="12.75" customHeight="1">
      <c r="C37" s="814"/>
      <c r="D37" s="814"/>
      <c r="E37" s="232"/>
      <c r="F37" s="232"/>
      <c r="G37" s="232"/>
      <c r="H37" s="224"/>
      <c r="I37" s="104" t="s">
        <v>338</v>
      </c>
      <c r="J37" s="104"/>
      <c r="K37" s="104"/>
      <c r="L37" s="104"/>
      <c r="M37" s="104"/>
      <c r="N37" s="104"/>
      <c r="O37" s="110"/>
      <c r="P37" s="144">
        <v>22</v>
      </c>
      <c r="Q37" s="232" t="s">
        <v>367</v>
      </c>
      <c r="R37" s="106">
        <v>25000</v>
      </c>
      <c r="S37" s="106">
        <f t="shared" si="2"/>
        <v>550000</v>
      </c>
    </row>
    <row r="38" spans="3:19" s="33" customFormat="1" ht="12.75" customHeight="1">
      <c r="C38" s="814"/>
      <c r="D38" s="814"/>
      <c r="E38" s="232"/>
      <c r="F38" s="232"/>
      <c r="G38" s="232"/>
      <c r="H38" s="224"/>
      <c r="I38" s="104" t="s">
        <v>339</v>
      </c>
      <c r="J38" s="104"/>
      <c r="K38" s="104"/>
      <c r="L38" s="104"/>
      <c r="M38" s="104"/>
      <c r="N38" s="104"/>
      <c r="O38" s="110"/>
      <c r="P38" s="144">
        <v>5.46</v>
      </c>
      <c r="Q38" s="232" t="s">
        <v>370</v>
      </c>
      <c r="R38" s="106">
        <v>25000</v>
      </c>
      <c r="S38" s="106">
        <f t="shared" si="2"/>
        <v>136500</v>
      </c>
    </row>
    <row r="39" spans="3:19" s="33" customFormat="1" ht="12.75" customHeight="1">
      <c r="C39" s="814"/>
      <c r="D39" s="814"/>
      <c r="E39" s="232"/>
      <c r="F39" s="232"/>
      <c r="G39" s="232"/>
      <c r="H39" s="224"/>
      <c r="I39" s="104" t="s">
        <v>340</v>
      </c>
      <c r="J39" s="104"/>
      <c r="K39" s="104"/>
      <c r="L39" s="104"/>
      <c r="M39" s="104"/>
      <c r="N39" s="104"/>
      <c r="O39" s="110"/>
      <c r="P39" s="144">
        <v>25.13</v>
      </c>
      <c r="Q39" s="232" t="s">
        <v>371</v>
      </c>
      <c r="R39" s="106">
        <v>90000</v>
      </c>
      <c r="S39" s="106">
        <f t="shared" si="2"/>
        <v>2261700</v>
      </c>
    </row>
    <row r="40" spans="3:19" s="33" customFormat="1" ht="12.75" customHeight="1">
      <c r="C40" s="814"/>
      <c r="D40" s="814"/>
      <c r="E40" s="232"/>
      <c r="F40" s="232"/>
      <c r="G40" s="232"/>
      <c r="H40" s="224"/>
      <c r="I40" s="104" t="s">
        <v>341</v>
      </c>
      <c r="J40" s="104"/>
      <c r="K40" s="104"/>
      <c r="L40" s="104"/>
      <c r="M40" s="104"/>
      <c r="N40" s="104"/>
      <c r="O40" s="110"/>
      <c r="P40" s="144">
        <v>79</v>
      </c>
      <c r="Q40" s="232" t="s">
        <v>371</v>
      </c>
      <c r="R40" s="106">
        <v>65000</v>
      </c>
      <c r="S40" s="106">
        <f t="shared" si="2"/>
        <v>5135000</v>
      </c>
    </row>
    <row r="41" spans="3:19" s="33" customFormat="1" ht="12.75" customHeight="1">
      <c r="C41" s="814"/>
      <c r="D41" s="814"/>
      <c r="E41" s="232"/>
      <c r="F41" s="232"/>
      <c r="G41" s="232"/>
      <c r="H41" s="224"/>
      <c r="I41" s="104" t="s">
        <v>342</v>
      </c>
      <c r="J41" s="104"/>
      <c r="K41" s="104"/>
      <c r="L41" s="104"/>
      <c r="M41" s="104"/>
      <c r="N41" s="104"/>
      <c r="O41" s="110"/>
      <c r="P41" s="144">
        <v>46</v>
      </c>
      <c r="Q41" s="232" t="s">
        <v>367</v>
      </c>
      <c r="R41" s="106">
        <v>22000</v>
      </c>
      <c r="S41" s="106">
        <f t="shared" si="2"/>
        <v>1012000</v>
      </c>
    </row>
    <row r="42" spans="3:19" s="33" customFormat="1" ht="12.75" customHeight="1">
      <c r="C42" s="814"/>
      <c r="D42" s="814"/>
      <c r="E42" s="232"/>
      <c r="F42" s="232"/>
      <c r="G42" s="232"/>
      <c r="H42" s="224"/>
      <c r="I42" s="104" t="s">
        <v>343</v>
      </c>
      <c r="J42" s="104"/>
      <c r="K42" s="104"/>
      <c r="L42" s="104"/>
      <c r="M42" s="104"/>
      <c r="N42" s="104"/>
      <c r="O42" s="110"/>
      <c r="P42" s="144">
        <v>10</v>
      </c>
      <c r="Q42" s="232" t="s">
        <v>367</v>
      </c>
      <c r="R42" s="106">
        <v>18000</v>
      </c>
      <c r="S42" s="106">
        <f t="shared" si="2"/>
        <v>180000</v>
      </c>
    </row>
    <row r="43" spans="3:19" s="33" customFormat="1" ht="12.75" customHeight="1">
      <c r="C43" s="814"/>
      <c r="D43" s="814"/>
      <c r="E43" s="232"/>
      <c r="F43" s="232"/>
      <c r="G43" s="232"/>
      <c r="H43" s="224"/>
      <c r="I43" s="104" t="s">
        <v>344</v>
      </c>
      <c r="J43" s="104"/>
      <c r="K43" s="104"/>
      <c r="L43" s="104"/>
      <c r="M43" s="104"/>
      <c r="N43" s="104"/>
      <c r="O43" s="110"/>
      <c r="P43" s="144">
        <v>7.5</v>
      </c>
      <c r="Q43" s="232" t="s">
        <v>367</v>
      </c>
      <c r="R43" s="106">
        <v>48000</v>
      </c>
      <c r="S43" s="106">
        <f t="shared" si="2"/>
        <v>360000</v>
      </c>
    </row>
    <row r="44" spans="3:19" s="33" customFormat="1" ht="12.75" customHeight="1">
      <c r="C44" s="814"/>
      <c r="D44" s="814"/>
      <c r="E44" s="232"/>
      <c r="F44" s="232"/>
      <c r="G44" s="232"/>
      <c r="H44" s="224"/>
      <c r="I44" s="104" t="s">
        <v>345</v>
      </c>
      <c r="J44" s="104"/>
      <c r="K44" s="104"/>
      <c r="L44" s="104"/>
      <c r="M44" s="104"/>
      <c r="N44" s="104"/>
      <c r="O44" s="110"/>
      <c r="P44" s="144">
        <v>44</v>
      </c>
      <c r="Q44" s="232" t="s">
        <v>367</v>
      </c>
      <c r="R44" s="106">
        <v>25000</v>
      </c>
      <c r="S44" s="106">
        <f t="shared" si="2"/>
        <v>1100000</v>
      </c>
    </row>
    <row r="45" spans="3:19" s="33" customFormat="1" ht="12.75" customHeight="1">
      <c r="C45" s="814"/>
      <c r="D45" s="814"/>
      <c r="E45" s="232"/>
      <c r="F45" s="232"/>
      <c r="G45" s="232"/>
      <c r="H45" s="224"/>
      <c r="I45" s="104" t="s">
        <v>346</v>
      </c>
      <c r="J45" s="104"/>
      <c r="K45" s="104"/>
      <c r="L45" s="104"/>
      <c r="M45" s="104"/>
      <c r="N45" s="104"/>
      <c r="O45" s="110"/>
      <c r="P45" s="144">
        <v>9</v>
      </c>
      <c r="Q45" s="232" t="s">
        <v>367</v>
      </c>
      <c r="R45" s="106">
        <v>25000</v>
      </c>
      <c r="S45" s="106">
        <f t="shared" si="2"/>
        <v>225000</v>
      </c>
    </row>
    <row r="46" spans="3:19" s="33" customFormat="1" ht="12.75" customHeight="1">
      <c r="C46" s="814"/>
      <c r="D46" s="814"/>
      <c r="E46" s="232"/>
      <c r="F46" s="232"/>
      <c r="G46" s="232"/>
      <c r="H46" s="224"/>
      <c r="I46" s="104" t="s">
        <v>347</v>
      </c>
      <c r="J46" s="104"/>
      <c r="K46" s="104"/>
      <c r="L46" s="104"/>
      <c r="M46" s="104"/>
      <c r="N46" s="104"/>
      <c r="O46" s="110"/>
      <c r="P46" s="144">
        <v>2</v>
      </c>
      <c r="Q46" s="232" t="s">
        <v>372</v>
      </c>
      <c r="R46" s="106">
        <v>300000</v>
      </c>
      <c r="S46" s="106">
        <f t="shared" si="2"/>
        <v>600000</v>
      </c>
    </row>
    <row r="47" spans="3:19" s="33" customFormat="1" ht="12.75" customHeight="1">
      <c r="C47" s="814"/>
      <c r="D47" s="814"/>
      <c r="E47" s="232"/>
      <c r="F47" s="232"/>
      <c r="G47" s="232"/>
      <c r="H47" s="224"/>
      <c r="I47" s="104" t="s">
        <v>348</v>
      </c>
      <c r="J47" s="104"/>
      <c r="K47" s="104"/>
      <c r="L47" s="104"/>
      <c r="M47" s="104"/>
      <c r="N47" s="104"/>
      <c r="O47" s="110"/>
      <c r="P47" s="144">
        <v>1</v>
      </c>
      <c r="Q47" s="232" t="s">
        <v>182</v>
      </c>
      <c r="R47" s="106">
        <v>1500000</v>
      </c>
      <c r="S47" s="106">
        <f t="shared" si="2"/>
        <v>1500000</v>
      </c>
    </row>
    <row r="48" spans="3:19" s="33" customFormat="1" ht="12.75" customHeight="1">
      <c r="C48" s="814"/>
      <c r="D48" s="814"/>
      <c r="E48" s="232"/>
      <c r="F48" s="232"/>
      <c r="G48" s="232"/>
      <c r="H48" s="224"/>
      <c r="I48" s="104" t="s">
        <v>349</v>
      </c>
      <c r="J48" s="104"/>
      <c r="K48" s="104"/>
      <c r="L48" s="104"/>
      <c r="M48" s="104"/>
      <c r="N48" s="104"/>
      <c r="O48" s="110"/>
      <c r="P48" s="144">
        <v>2</v>
      </c>
      <c r="Q48" s="232" t="s">
        <v>365</v>
      </c>
      <c r="R48" s="106">
        <v>70000</v>
      </c>
      <c r="S48" s="106">
        <f t="shared" si="2"/>
        <v>140000</v>
      </c>
    </row>
    <row r="49" spans="3:19" s="33" customFormat="1" ht="12.75" customHeight="1">
      <c r="C49" s="814"/>
      <c r="D49" s="814"/>
      <c r="E49" s="232"/>
      <c r="F49" s="232"/>
      <c r="G49" s="232"/>
      <c r="H49" s="224"/>
      <c r="I49" s="104" t="s">
        <v>350</v>
      </c>
      <c r="J49" s="104"/>
      <c r="K49" s="104"/>
      <c r="L49" s="104"/>
      <c r="M49" s="104"/>
      <c r="N49" s="104"/>
      <c r="O49" s="110"/>
      <c r="P49" s="144">
        <v>5</v>
      </c>
      <c r="Q49" s="232" t="s">
        <v>365</v>
      </c>
      <c r="R49" s="106">
        <v>3500</v>
      </c>
      <c r="S49" s="106">
        <f t="shared" si="2"/>
        <v>17500</v>
      </c>
    </row>
    <row r="50" spans="3:19" s="33" customFormat="1" ht="12.75" customHeight="1">
      <c r="C50" s="814"/>
      <c r="D50" s="814"/>
      <c r="E50" s="232"/>
      <c r="F50" s="232"/>
      <c r="G50" s="232"/>
      <c r="H50" s="224"/>
      <c r="I50" s="104" t="s">
        <v>351</v>
      </c>
      <c r="J50" s="104"/>
      <c r="K50" s="104"/>
      <c r="L50" s="104"/>
      <c r="M50" s="104"/>
      <c r="N50" s="104"/>
      <c r="O50" s="110"/>
      <c r="P50" s="144">
        <v>9</v>
      </c>
      <c r="Q50" s="232" t="s">
        <v>365</v>
      </c>
      <c r="R50" s="106">
        <v>15000</v>
      </c>
      <c r="S50" s="106">
        <f t="shared" si="2"/>
        <v>135000</v>
      </c>
    </row>
    <row r="51" spans="3:19" s="33" customFormat="1" ht="12.75" customHeight="1">
      <c r="C51" s="814"/>
      <c r="D51" s="814"/>
      <c r="E51" s="232"/>
      <c r="F51" s="232"/>
      <c r="G51" s="232"/>
      <c r="H51" s="224"/>
      <c r="I51" s="104" t="s">
        <v>352</v>
      </c>
      <c r="J51" s="104"/>
      <c r="K51" s="104"/>
      <c r="L51" s="104"/>
      <c r="M51" s="104"/>
      <c r="N51" s="104"/>
      <c r="O51" s="110"/>
      <c r="P51" s="144">
        <v>12</v>
      </c>
      <c r="Q51" s="232" t="s">
        <v>365</v>
      </c>
      <c r="R51" s="106">
        <v>7000</v>
      </c>
      <c r="S51" s="106">
        <f t="shared" si="2"/>
        <v>84000</v>
      </c>
    </row>
    <row r="52" spans="3:19" s="33" customFormat="1" ht="12.75" customHeight="1">
      <c r="C52" s="814"/>
      <c r="D52" s="814"/>
      <c r="E52" s="232"/>
      <c r="F52" s="232"/>
      <c r="G52" s="232"/>
      <c r="H52" s="224"/>
      <c r="I52" s="104" t="s">
        <v>353</v>
      </c>
      <c r="J52" s="104"/>
      <c r="K52" s="104"/>
      <c r="L52" s="104"/>
      <c r="M52" s="104"/>
      <c r="N52" s="104"/>
      <c r="O52" s="110"/>
      <c r="P52" s="144">
        <v>12</v>
      </c>
      <c r="Q52" s="232" t="s">
        <v>365</v>
      </c>
      <c r="R52" s="106">
        <v>5000</v>
      </c>
      <c r="S52" s="106">
        <f t="shared" si="2"/>
        <v>60000</v>
      </c>
    </row>
    <row r="53" spans="3:19" s="33" customFormat="1" ht="12.75" customHeight="1">
      <c r="C53" s="814"/>
      <c r="D53" s="814"/>
      <c r="E53" s="232"/>
      <c r="F53" s="232"/>
      <c r="G53" s="232"/>
      <c r="H53" s="224"/>
      <c r="I53" s="104" t="s">
        <v>354</v>
      </c>
      <c r="J53" s="104"/>
      <c r="K53" s="104"/>
      <c r="L53" s="104"/>
      <c r="M53" s="104"/>
      <c r="N53" s="104"/>
      <c r="O53" s="110"/>
      <c r="P53" s="144">
        <v>2</v>
      </c>
      <c r="Q53" s="232" t="s">
        <v>365</v>
      </c>
      <c r="R53" s="106">
        <v>170000</v>
      </c>
      <c r="S53" s="106">
        <f t="shared" si="2"/>
        <v>340000</v>
      </c>
    </row>
    <row r="54" spans="3:19" s="33" customFormat="1" ht="12.75" customHeight="1">
      <c r="C54" s="814"/>
      <c r="D54" s="814"/>
      <c r="E54" s="232"/>
      <c r="F54" s="232"/>
      <c r="G54" s="232"/>
      <c r="H54" s="224"/>
      <c r="I54" s="104" t="s">
        <v>355</v>
      </c>
      <c r="J54" s="104"/>
      <c r="K54" s="104"/>
      <c r="L54" s="104"/>
      <c r="M54" s="104"/>
      <c r="N54" s="104"/>
      <c r="O54" s="110"/>
      <c r="P54" s="144">
        <v>4</v>
      </c>
      <c r="Q54" s="232" t="s">
        <v>371</v>
      </c>
      <c r="R54" s="106">
        <v>65000</v>
      </c>
      <c r="S54" s="106">
        <f t="shared" si="2"/>
        <v>260000</v>
      </c>
    </row>
    <row r="55" spans="3:19" s="33" customFormat="1" ht="12.75" customHeight="1">
      <c r="C55" s="814"/>
      <c r="D55" s="814"/>
      <c r="E55" s="232"/>
      <c r="F55" s="232"/>
      <c r="G55" s="232"/>
      <c r="H55" s="224"/>
      <c r="I55" s="104" t="s">
        <v>356</v>
      </c>
      <c r="J55" s="104"/>
      <c r="K55" s="104"/>
      <c r="L55" s="104"/>
      <c r="M55" s="104"/>
      <c r="N55" s="104"/>
      <c r="O55" s="110"/>
      <c r="P55" s="144">
        <v>4</v>
      </c>
      <c r="Q55" s="232" t="s">
        <v>365</v>
      </c>
      <c r="R55" s="106">
        <v>6500</v>
      </c>
      <c r="S55" s="106">
        <f t="shared" si="2"/>
        <v>26000</v>
      </c>
    </row>
    <row r="56" spans="3:19" s="33" customFormat="1" ht="12.75" customHeight="1">
      <c r="C56" s="814"/>
      <c r="D56" s="814"/>
      <c r="E56" s="232"/>
      <c r="F56" s="232"/>
      <c r="G56" s="232"/>
      <c r="H56" s="224"/>
      <c r="I56" s="104" t="s">
        <v>357</v>
      </c>
      <c r="J56" s="104"/>
      <c r="K56" s="104"/>
      <c r="L56" s="104"/>
      <c r="M56" s="104"/>
      <c r="N56" s="104"/>
      <c r="O56" s="110"/>
      <c r="P56" s="144">
        <v>4</v>
      </c>
      <c r="Q56" s="232" t="s">
        <v>365</v>
      </c>
      <c r="R56" s="106">
        <v>3500</v>
      </c>
      <c r="S56" s="106">
        <f t="shared" si="2"/>
        <v>14000</v>
      </c>
    </row>
    <row r="57" spans="3:19" s="33" customFormat="1" ht="12.75" customHeight="1">
      <c r="C57" s="814"/>
      <c r="D57" s="814"/>
      <c r="E57" s="232"/>
      <c r="F57" s="232"/>
      <c r="G57" s="232"/>
      <c r="H57" s="224"/>
      <c r="I57" s="104" t="s">
        <v>358</v>
      </c>
      <c r="J57" s="104"/>
      <c r="K57" s="104"/>
      <c r="L57" s="104"/>
      <c r="M57" s="104"/>
      <c r="N57" s="104"/>
      <c r="O57" s="110"/>
      <c r="P57" s="144">
        <v>5</v>
      </c>
      <c r="Q57" s="232" t="s">
        <v>371</v>
      </c>
      <c r="R57" s="106">
        <v>20000</v>
      </c>
      <c r="S57" s="106">
        <f t="shared" si="2"/>
        <v>100000</v>
      </c>
    </row>
    <row r="58" spans="3:19" s="33" customFormat="1" ht="12.75" customHeight="1">
      <c r="C58" s="814"/>
      <c r="D58" s="814"/>
      <c r="E58" s="232"/>
      <c r="F58" s="232"/>
      <c r="G58" s="232"/>
      <c r="H58" s="224"/>
      <c r="I58" s="104" t="s">
        <v>359</v>
      </c>
      <c r="J58" s="104"/>
      <c r="K58" s="104"/>
      <c r="L58" s="104"/>
      <c r="M58" s="104"/>
      <c r="N58" s="104"/>
      <c r="O58" s="110"/>
      <c r="P58" s="144">
        <v>1</v>
      </c>
      <c r="Q58" s="232" t="s">
        <v>373</v>
      </c>
      <c r="R58" s="106">
        <v>2500000</v>
      </c>
      <c r="S58" s="106">
        <f t="shared" si="2"/>
        <v>2500000</v>
      </c>
    </row>
    <row r="59" spans="3:19" s="33" customFormat="1" ht="12.75" customHeight="1">
      <c r="C59" s="814"/>
      <c r="D59" s="814"/>
      <c r="E59" s="232"/>
      <c r="F59" s="232"/>
      <c r="G59" s="232"/>
      <c r="H59" s="224"/>
      <c r="I59" s="104" t="s">
        <v>360</v>
      </c>
      <c r="J59" s="104"/>
      <c r="K59" s="104"/>
      <c r="L59" s="104"/>
      <c r="M59" s="104"/>
      <c r="N59" s="104"/>
      <c r="O59" s="110"/>
      <c r="P59" s="144">
        <v>1</v>
      </c>
      <c r="Q59" s="232" t="s">
        <v>55</v>
      </c>
      <c r="R59" s="106">
        <v>20000</v>
      </c>
      <c r="S59" s="106">
        <f t="shared" si="2"/>
        <v>20000</v>
      </c>
    </row>
    <row r="60" spans="3:19" s="33" customFormat="1" ht="12.75" customHeight="1">
      <c r="C60" s="814"/>
      <c r="D60" s="814"/>
      <c r="E60" s="232"/>
      <c r="F60" s="232"/>
      <c r="G60" s="232"/>
      <c r="H60" s="224"/>
      <c r="I60" s="104" t="s">
        <v>361</v>
      </c>
      <c r="J60" s="104"/>
      <c r="K60" s="104"/>
      <c r="L60" s="104"/>
      <c r="M60" s="104"/>
      <c r="N60" s="104"/>
      <c r="O60" s="110"/>
      <c r="P60" s="144">
        <v>1</v>
      </c>
      <c r="Q60" s="232" t="s">
        <v>55</v>
      </c>
      <c r="R60" s="106">
        <v>50000</v>
      </c>
      <c r="S60" s="106">
        <f t="shared" si="2"/>
        <v>50000</v>
      </c>
    </row>
    <row r="61" spans="3:19" s="33" customFormat="1" ht="12.75" customHeight="1">
      <c r="C61" s="814"/>
      <c r="D61" s="814"/>
      <c r="E61" s="232"/>
      <c r="F61" s="232"/>
      <c r="G61" s="232"/>
      <c r="H61" s="224"/>
      <c r="I61" s="104" t="s">
        <v>362</v>
      </c>
      <c r="J61" s="104"/>
      <c r="K61" s="104"/>
      <c r="L61" s="104"/>
      <c r="M61" s="104"/>
      <c r="N61" s="104"/>
      <c r="O61" s="110"/>
      <c r="P61" s="144">
        <v>1</v>
      </c>
      <c r="Q61" s="232" t="s">
        <v>55</v>
      </c>
      <c r="R61" s="106">
        <v>15000</v>
      </c>
      <c r="S61" s="106">
        <f t="shared" si="2"/>
        <v>15000</v>
      </c>
    </row>
    <row r="62" spans="3:19" s="33" customFormat="1" ht="12.75" customHeight="1">
      <c r="C62" s="814"/>
      <c r="D62" s="814"/>
      <c r="E62" s="232"/>
      <c r="F62" s="232"/>
      <c r="G62" s="232"/>
      <c r="H62" s="224"/>
      <c r="I62" s="104" t="s">
        <v>363</v>
      </c>
      <c r="J62" s="104"/>
      <c r="K62" s="104"/>
      <c r="L62" s="104"/>
      <c r="M62" s="104"/>
      <c r="N62" s="104"/>
      <c r="O62" s="110"/>
      <c r="P62" s="144">
        <v>1</v>
      </c>
      <c r="Q62" s="232" t="s">
        <v>374</v>
      </c>
      <c r="R62" s="106">
        <v>160000</v>
      </c>
      <c r="S62" s="106">
        <f t="shared" si="2"/>
        <v>160000</v>
      </c>
    </row>
    <row r="63" spans="3:19" s="33" customFormat="1" ht="12.75" customHeight="1">
      <c r="C63" s="814"/>
      <c r="D63" s="814"/>
      <c r="E63" s="232"/>
      <c r="F63" s="232"/>
      <c r="G63" s="232"/>
      <c r="H63" s="224"/>
      <c r="I63" s="104" t="s">
        <v>364</v>
      </c>
      <c r="J63" s="104"/>
      <c r="K63" s="104"/>
      <c r="L63" s="104"/>
      <c r="M63" s="104"/>
      <c r="N63" s="104"/>
      <c r="O63" s="110"/>
      <c r="P63" s="144">
        <v>1</v>
      </c>
      <c r="Q63" s="232" t="s">
        <v>55</v>
      </c>
      <c r="R63" s="106">
        <v>350000</v>
      </c>
      <c r="S63" s="106">
        <f t="shared" si="1"/>
        <v>350000</v>
      </c>
    </row>
    <row r="64" spans="3:19" s="33" customFormat="1" ht="15" customHeight="1">
      <c r="C64" s="815"/>
      <c r="D64" s="815"/>
      <c r="E64" s="234"/>
      <c r="F64" s="234"/>
      <c r="G64" s="234"/>
      <c r="H64" s="811" t="s">
        <v>163</v>
      </c>
      <c r="I64" s="812"/>
      <c r="J64" s="812"/>
      <c r="K64" s="812"/>
      <c r="L64" s="812"/>
      <c r="M64" s="812"/>
      <c r="N64" s="812"/>
      <c r="O64" s="813"/>
      <c r="P64" s="36"/>
      <c r="Q64" s="36"/>
      <c r="R64" s="111"/>
      <c r="S64" s="112">
        <f>SUM(S18+S23)</f>
        <v>165967990.40000001</v>
      </c>
    </row>
    <row r="65" spans="3:19" s="33" customFormat="1" ht="12.75">
      <c r="C65" s="102"/>
      <c r="D65" s="92"/>
      <c r="E65" s="92"/>
      <c r="F65" s="92"/>
      <c r="G65" s="92"/>
      <c r="H65" s="143"/>
      <c r="I65" s="143"/>
      <c r="J65" s="143"/>
      <c r="K65" s="91"/>
      <c r="L65" s="91"/>
      <c r="M65" s="91"/>
      <c r="N65" s="91"/>
      <c r="O65" s="91"/>
      <c r="P65" s="91"/>
      <c r="Q65" s="91"/>
      <c r="R65" s="101"/>
      <c r="S65" s="103"/>
    </row>
    <row r="66" spans="3:19" s="33" customFormat="1" ht="12.75">
      <c r="C66" s="48"/>
      <c r="D66" s="77"/>
      <c r="E66" s="77"/>
      <c r="F66" s="77"/>
      <c r="G66" s="77"/>
      <c r="H66" s="88"/>
      <c r="I66" s="88"/>
      <c r="J66" s="88"/>
      <c r="K66" s="76"/>
      <c r="L66" s="76"/>
      <c r="M66" s="76"/>
      <c r="N66" s="76"/>
      <c r="O66" s="76"/>
      <c r="P66" s="76"/>
      <c r="Q66" s="76"/>
      <c r="R66" s="89"/>
      <c r="S66" s="113"/>
    </row>
    <row r="67" spans="3:19" s="33" customFormat="1" ht="12.75">
      <c r="C67" s="75"/>
      <c r="D67" s="76"/>
      <c r="E67" s="76"/>
      <c r="F67" s="76"/>
      <c r="G67" s="76"/>
      <c r="H67" s="76"/>
      <c r="I67" s="77" t="s">
        <v>168</v>
      </c>
      <c r="J67" s="76"/>
      <c r="K67" s="76"/>
      <c r="L67" s="76"/>
      <c r="M67" s="76"/>
      <c r="N67" s="76"/>
      <c r="O67" s="76"/>
      <c r="P67" s="76"/>
      <c r="Q67" s="76"/>
      <c r="R67" s="142" t="s">
        <v>193</v>
      </c>
      <c r="S67" s="52"/>
    </row>
    <row r="68" spans="3:19" s="33" customFormat="1" ht="12.75">
      <c r="C68" s="75"/>
      <c r="D68" s="76"/>
      <c r="E68" s="76"/>
      <c r="F68" s="76"/>
      <c r="G68" s="76"/>
      <c r="H68" s="76"/>
      <c r="I68" s="77" t="s">
        <v>298</v>
      </c>
      <c r="J68" s="76"/>
      <c r="K68" s="76"/>
      <c r="L68" s="76"/>
      <c r="M68" s="76"/>
      <c r="N68" s="76"/>
      <c r="O68" s="76"/>
      <c r="P68" s="76"/>
      <c r="Q68" s="76"/>
      <c r="R68" s="76"/>
      <c r="S68" s="52"/>
    </row>
    <row r="69" spans="3:19" s="33" customFormat="1" ht="12.75">
      <c r="C69" s="75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52"/>
    </row>
    <row r="70" spans="3:19" s="33" customFormat="1" ht="12.75">
      <c r="C70" s="75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52"/>
    </row>
    <row r="71" spans="3:19" s="33" customFormat="1" ht="12.75">
      <c r="C71" s="75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52"/>
    </row>
    <row r="72" spans="3:19" s="33" customFormat="1" ht="12.75">
      <c r="C72" s="7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52"/>
    </row>
    <row r="73" spans="3:19" s="33" customFormat="1" ht="12.75">
      <c r="C73" s="75"/>
      <c r="D73" s="76"/>
      <c r="E73" s="76"/>
      <c r="F73" s="76"/>
      <c r="G73" s="76"/>
      <c r="H73" s="76"/>
      <c r="I73" s="77" t="s">
        <v>304</v>
      </c>
      <c r="J73" s="76"/>
      <c r="K73" s="76"/>
      <c r="L73" s="76"/>
      <c r="M73" s="76"/>
      <c r="N73" s="76"/>
      <c r="O73" s="76"/>
      <c r="P73" s="76"/>
      <c r="Q73" s="76"/>
      <c r="R73" s="142" t="s">
        <v>322</v>
      </c>
      <c r="S73" s="52"/>
    </row>
    <row r="74" spans="3:19" s="33" customFormat="1" ht="12.75">
      <c r="C74" s="78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80"/>
    </row>
    <row r="75" spans="3:19" s="33" customFormat="1" ht="12.75"/>
    <row r="76" spans="3:19" s="33" customFormat="1" ht="12.75"/>
    <row r="77" spans="3:19" s="33" customFormat="1" ht="12.75"/>
    <row r="78" spans="3:19" s="33" customFormat="1" ht="12.75"/>
    <row r="79" spans="3:19" s="30" customFormat="1"/>
    <row r="80" spans="3:19" s="30" customFormat="1"/>
    <row r="81" s="30" customFormat="1"/>
    <row r="82" s="30" customFormat="1"/>
    <row r="83" s="30" customFormat="1"/>
    <row r="84" s="30" customFormat="1"/>
    <row r="85" s="30" customFormat="1"/>
    <row r="86" s="30" customFormat="1"/>
    <row r="87" s="30" customFormat="1"/>
    <row r="88" s="30" customFormat="1"/>
    <row r="89" s="30" customFormat="1"/>
    <row r="90" s="30" customFormat="1"/>
    <row r="91" s="30" customFormat="1"/>
    <row r="92" s="30" customFormat="1"/>
    <row r="93" s="30" customFormat="1"/>
    <row r="94" s="30" customFormat="1"/>
    <row r="95" s="30" customFormat="1"/>
    <row r="96" s="30" customFormat="1"/>
    <row r="97" s="30" customFormat="1"/>
    <row r="98" s="30" customFormat="1"/>
    <row r="99" s="30" customFormat="1"/>
    <row r="100" s="30" customFormat="1"/>
    <row r="101" s="30" customFormat="1"/>
    <row r="102" s="30" customFormat="1"/>
    <row r="103" s="30" customFormat="1"/>
    <row r="104" s="30" customFormat="1"/>
    <row r="105" s="30" customFormat="1"/>
    <row r="106" s="30" customFormat="1"/>
    <row r="107" s="30" customFormat="1"/>
    <row r="108" s="30" customFormat="1"/>
    <row r="109" s="30" customFormat="1"/>
    <row r="110" s="30" customFormat="1"/>
    <row r="111" s="30" customFormat="1"/>
    <row r="112" s="30" customFormat="1"/>
    <row r="113" s="30" customFormat="1"/>
    <row r="114" s="30" customFormat="1"/>
    <row r="115" s="30" customFormat="1"/>
    <row r="116" s="30" customFormat="1"/>
    <row r="117" s="30" customFormat="1"/>
    <row r="118" s="30" customFormat="1"/>
    <row r="119" s="30" customFormat="1"/>
    <row r="120" s="30" customFormat="1"/>
    <row r="121" s="30" customFormat="1"/>
    <row r="122" s="30" customFormat="1"/>
    <row r="123" s="30" customFormat="1"/>
    <row r="124" s="30" customFormat="1"/>
    <row r="125" s="30" customFormat="1"/>
    <row r="126" s="30" customFormat="1"/>
    <row r="127" s="30" customFormat="1"/>
    <row r="128" s="30" customFormat="1"/>
    <row r="129" s="30" customFormat="1"/>
    <row r="130" s="30" customFormat="1"/>
    <row r="131" s="30" customFormat="1"/>
    <row r="132" s="30" customFormat="1"/>
    <row r="133" s="30" customFormat="1"/>
    <row r="134" s="30" customFormat="1"/>
    <row r="135" s="30" customFormat="1"/>
    <row r="136" s="30" customFormat="1"/>
    <row r="137" s="30" customFormat="1"/>
    <row r="138" s="30" customFormat="1"/>
    <row r="139" s="30" customFormat="1"/>
    <row r="140" s="30" customFormat="1"/>
    <row r="141" s="30" customFormat="1"/>
    <row r="142" s="30" customFormat="1"/>
    <row r="143" s="30" customFormat="1"/>
    <row r="144" s="30" customFormat="1"/>
    <row r="145" s="30" customFormat="1"/>
    <row r="146" s="30" customFormat="1"/>
    <row r="147" s="30" customFormat="1"/>
    <row r="148" s="30" customFormat="1"/>
    <row r="149" s="30" customFormat="1"/>
    <row r="150" s="30" customFormat="1"/>
    <row r="151" s="30" customFormat="1"/>
    <row r="152" s="30" customFormat="1"/>
    <row r="153" s="30" customFormat="1"/>
    <row r="154" s="30" customFormat="1"/>
    <row r="155" s="30" customFormat="1"/>
    <row r="156" s="30" customFormat="1"/>
    <row r="157" s="30" customFormat="1"/>
    <row r="158" s="30" customFormat="1"/>
    <row r="159" s="30" customFormat="1"/>
    <row r="160" s="30" customFormat="1"/>
    <row r="161" s="30" customFormat="1"/>
    <row r="162" s="30" customFormat="1"/>
    <row r="163" s="30" customFormat="1"/>
    <row r="164" s="30" customFormat="1"/>
    <row r="165" s="30" customFormat="1"/>
    <row r="166" s="30" customFormat="1"/>
    <row r="167" s="30" customFormat="1"/>
    <row r="168" s="30" customFormat="1"/>
    <row r="169" s="30" customFormat="1"/>
    <row r="170" s="30" customFormat="1"/>
    <row r="171" s="30" customFormat="1"/>
    <row r="172" s="30" customFormat="1"/>
    <row r="173" s="30" customFormat="1"/>
    <row r="174" s="30" customFormat="1"/>
    <row r="175" s="30" customFormat="1"/>
    <row r="176" s="30" customFormat="1"/>
    <row r="177" s="30" customFormat="1"/>
    <row r="178" s="30" customFormat="1"/>
    <row r="179" s="30" customFormat="1"/>
    <row r="180" s="30" customFormat="1"/>
    <row r="181" s="30" customFormat="1"/>
    <row r="182" s="30" customFormat="1"/>
    <row r="183" s="30" customFormat="1"/>
    <row r="184" s="30" customFormat="1"/>
    <row r="185" s="30" customFormat="1"/>
    <row r="186" s="30" customFormat="1"/>
    <row r="187" s="30" customFormat="1"/>
    <row r="188" s="30" customFormat="1"/>
    <row r="189" s="30" customFormat="1"/>
    <row r="190" s="30" customFormat="1"/>
    <row r="191" s="30" customFormat="1"/>
    <row r="192" s="30" customFormat="1"/>
    <row r="193" s="30" customFormat="1"/>
    <row r="194" s="30" customFormat="1"/>
    <row r="195" s="30" customFormat="1"/>
    <row r="196" s="30" customFormat="1"/>
    <row r="197" s="30" customFormat="1"/>
    <row r="198" s="30" customFormat="1"/>
    <row r="199" s="30" customFormat="1"/>
    <row r="200" s="30" customFormat="1"/>
    <row r="201" s="30" customFormat="1"/>
    <row r="202" s="30" customFormat="1"/>
    <row r="203" s="30" customFormat="1"/>
    <row r="204" s="30" customFormat="1"/>
    <row r="205" s="30" customFormat="1"/>
    <row r="206" s="30" customFormat="1"/>
    <row r="207" s="30" customFormat="1"/>
    <row r="208" s="30" customFormat="1"/>
    <row r="209" s="30" customFormat="1"/>
    <row r="210" s="30" customFormat="1"/>
    <row r="211" s="30" customFormat="1"/>
    <row r="212" s="30" customFormat="1"/>
    <row r="213" s="30" customFormat="1"/>
    <row r="214" s="30" customFormat="1"/>
    <row r="215" s="30" customFormat="1"/>
    <row r="216" s="30" customFormat="1"/>
    <row r="217" s="30" customFormat="1"/>
    <row r="218" s="30" customFormat="1"/>
    <row r="219" s="30" customFormat="1"/>
    <row r="220" s="30" customFormat="1"/>
    <row r="221" s="30" customFormat="1"/>
    <row r="222" s="30" customFormat="1"/>
    <row r="223" s="30" customFormat="1"/>
    <row r="224" s="30" customFormat="1"/>
    <row r="225" s="30" customFormat="1"/>
    <row r="226" s="30" customFormat="1"/>
    <row r="227" s="30" customFormat="1"/>
    <row r="228" s="30" customFormat="1"/>
    <row r="229" s="30" customFormat="1"/>
    <row r="230" s="30" customFormat="1"/>
    <row r="231" s="30" customFormat="1"/>
    <row r="232" s="30" customFormat="1"/>
    <row r="233" s="30" customFormat="1"/>
    <row r="234" s="30" customFormat="1"/>
    <row r="235" s="30" customFormat="1"/>
    <row r="236" s="30" customFormat="1"/>
    <row r="237" s="30" customFormat="1"/>
    <row r="238" s="30" customFormat="1"/>
    <row r="239" s="30" customFormat="1"/>
    <row r="240" s="30" customFormat="1"/>
    <row r="241" s="30" customFormat="1"/>
    <row r="242" s="30" customFormat="1"/>
    <row r="243" s="30" customFormat="1"/>
    <row r="244" s="30" customFormat="1"/>
    <row r="245" s="30" customFormat="1"/>
    <row r="246" s="30" customFormat="1"/>
    <row r="247" s="30" customFormat="1"/>
    <row r="248" s="30" customFormat="1"/>
    <row r="249" s="30" customFormat="1"/>
    <row r="250" s="30" customFormat="1"/>
    <row r="251" s="30" customFormat="1"/>
    <row r="252" s="30" customFormat="1"/>
    <row r="253" s="30" customFormat="1"/>
    <row r="254" s="30" customFormat="1"/>
    <row r="255" s="30" customFormat="1"/>
    <row r="256" s="30" customFormat="1"/>
    <row r="257" s="30" customFormat="1"/>
    <row r="258" s="30" customFormat="1"/>
    <row r="259" s="30" customFormat="1"/>
    <row r="260" s="30" customFormat="1"/>
    <row r="261" s="30" customFormat="1"/>
    <row r="262" s="30" customFormat="1"/>
    <row r="263" s="30" customFormat="1"/>
    <row r="264" s="30" customFormat="1"/>
    <row r="265" s="30" customFormat="1"/>
    <row r="266" s="30" customFormat="1"/>
    <row r="267" s="30" customFormat="1"/>
    <row r="268" s="30" customFormat="1"/>
    <row r="269" s="30" customFormat="1"/>
    <row r="270" s="30" customFormat="1"/>
    <row r="271" s="30" customFormat="1"/>
    <row r="272" s="30" customFormat="1"/>
    <row r="273" s="30" customFormat="1"/>
    <row r="274" s="30" customFormat="1"/>
    <row r="275" s="30" customFormat="1"/>
    <row r="276" s="30" customFormat="1"/>
    <row r="277" s="30" customFormat="1"/>
    <row r="278" s="30" customFormat="1"/>
    <row r="279" s="30" customFormat="1"/>
    <row r="280" s="30" customFormat="1"/>
    <row r="281" s="30" customFormat="1"/>
    <row r="282" s="30" customFormat="1"/>
    <row r="283" s="30" customFormat="1"/>
    <row r="284" s="30" customFormat="1"/>
    <row r="285" s="30" customFormat="1"/>
    <row r="286" s="30" customFormat="1"/>
    <row r="287" s="30" customFormat="1"/>
    <row r="288" s="30" customFormat="1"/>
    <row r="289" s="30" customFormat="1"/>
    <row r="290" s="30" customFormat="1"/>
    <row r="291" s="30" customFormat="1"/>
    <row r="292" s="30" customFormat="1"/>
    <row r="293" s="30" customFormat="1"/>
    <row r="294" s="30" customFormat="1"/>
    <row r="295" s="30" customFormat="1"/>
    <row r="296" s="30" customFormat="1"/>
    <row r="297" s="30" customFormat="1"/>
    <row r="298" s="30" customFormat="1"/>
    <row r="299" s="30" customFormat="1"/>
    <row r="300" s="30" customFormat="1"/>
    <row r="301" s="30" customFormat="1"/>
    <row r="302" s="30" customFormat="1"/>
    <row r="303" s="30" customFormat="1"/>
    <row r="304" s="30" customFormat="1"/>
    <row r="305" s="30" customFormat="1"/>
    <row r="306" s="30" customFormat="1"/>
    <row r="307" s="30" customFormat="1"/>
    <row r="308" s="30" customFormat="1"/>
    <row r="309" s="30" customFormat="1"/>
    <row r="310" s="30" customFormat="1"/>
    <row r="311" s="30" customFormat="1"/>
    <row r="312" s="30" customFormat="1"/>
    <row r="313" s="30" customFormat="1"/>
    <row r="314" s="30" customFormat="1"/>
    <row r="315" s="30" customFormat="1"/>
    <row r="316" s="30" customFormat="1"/>
    <row r="317" s="30" customFormat="1"/>
    <row r="318" s="30" customFormat="1"/>
    <row r="319" s="30" customFormat="1"/>
    <row r="320" s="30" customFormat="1"/>
    <row r="321" s="30" customFormat="1"/>
    <row r="322" s="30" customFormat="1"/>
    <row r="323" s="30" customFormat="1"/>
    <row r="324" s="30" customFormat="1"/>
    <row r="325" s="30" customFormat="1"/>
    <row r="326" s="30" customFormat="1"/>
    <row r="327" s="30" customFormat="1"/>
    <row r="328" s="30" customFormat="1"/>
    <row r="329" s="30" customFormat="1"/>
    <row r="330" s="30" customFormat="1"/>
    <row r="331" s="28" customFormat="1"/>
    <row r="332" s="28" customFormat="1"/>
    <row r="333" s="28" customFormat="1"/>
    <row r="334" s="28" customFormat="1"/>
    <row r="335" s="28" customFormat="1"/>
    <row r="336" s="28" customFormat="1"/>
    <row r="337" s="28" customFormat="1"/>
    <row r="338" s="28" customFormat="1"/>
    <row r="339" s="28" customFormat="1"/>
    <row r="340" s="28" customFormat="1"/>
    <row r="341" s="28" customFormat="1"/>
    <row r="342" s="28" customFormat="1"/>
    <row r="343" s="28" customFormat="1"/>
    <row r="344" s="28" customFormat="1"/>
    <row r="345" s="28" customFormat="1"/>
  </sheetData>
  <mergeCells count="59">
    <mergeCell ref="C22:D22"/>
    <mergeCell ref="C1:S1"/>
    <mergeCell ref="C2:S2"/>
    <mergeCell ref="C3:S3"/>
    <mergeCell ref="L5:S5"/>
    <mergeCell ref="L7:S7"/>
    <mergeCell ref="C14:G15"/>
    <mergeCell ref="H14:O15"/>
    <mergeCell ref="P14:P15"/>
    <mergeCell ref="Q14:Q15"/>
    <mergeCell ref="S14:S15"/>
    <mergeCell ref="C16:G16"/>
    <mergeCell ref="C17:D17"/>
    <mergeCell ref="I17:K17"/>
    <mergeCell ref="C18:D18"/>
    <mergeCell ref="C19:D19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46:D46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H64:O64"/>
    <mergeCell ref="C59:D59"/>
    <mergeCell ref="C60:D60"/>
    <mergeCell ref="C61:D61"/>
    <mergeCell ref="C62:D62"/>
    <mergeCell ref="C63:D63"/>
    <mergeCell ref="C64:D64"/>
  </mergeCells>
  <pageMargins left="0.75" right="0.5" top="1" bottom="0.5" header="0.28000000000000003" footer="0.31496062992126"/>
  <pageSetup paperSize="5" scale="90" orientation="portrait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F0"/>
  </sheetPr>
  <dimension ref="A1:S182"/>
  <sheetViews>
    <sheetView topLeftCell="A4" zoomScaleSheetLayoutView="90" workbookViewId="0">
      <selection activeCell="A10" sqref="A10"/>
    </sheetView>
  </sheetViews>
  <sheetFormatPr defaultRowHeight="15"/>
  <cols>
    <col min="1" max="1" width="2" customWidth="1"/>
    <col min="2" max="2" width="0.7109375" customWidth="1"/>
    <col min="3" max="5" width="2.7109375" customWidth="1"/>
    <col min="6" max="6" width="2" customWidth="1"/>
    <col min="7" max="7" width="22.5703125" customWidth="1"/>
    <col min="8" max="8" width="1.5703125" hidden="1" customWidth="1"/>
    <col min="9" max="9" width="3.140625" customWidth="1"/>
    <col min="10" max="10" width="4.140625" customWidth="1"/>
    <col min="11" max="11" width="2.5703125" customWidth="1"/>
    <col min="12" max="12" width="3.42578125" customWidth="1"/>
    <col min="13" max="13" width="4.140625" customWidth="1"/>
    <col min="14" max="14" width="7.7109375" customWidth="1"/>
    <col min="15" max="15" width="7.42578125" customWidth="1"/>
    <col min="16" max="16" width="14" customWidth="1"/>
    <col min="17" max="17" width="17.42578125" customWidth="1"/>
    <col min="19" max="19" width="10.5703125" bestFit="1" customWidth="1"/>
    <col min="20" max="20" width="10" bestFit="1" customWidth="1"/>
  </cols>
  <sheetData>
    <row r="1" spans="1:17" s="247" customFormat="1" ht="18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7" customFormat="1" ht="18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9" customFormat="1" ht="15.7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85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7"/>
    </row>
    <row r="5" spans="1:17" s="242" customFormat="1" ht="16.5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5" customHeight="1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441</v>
      </c>
      <c r="K6" s="851"/>
      <c r="L6" s="851"/>
      <c r="M6" s="851"/>
      <c r="N6" s="851"/>
      <c r="O6" s="851"/>
      <c r="P6" s="851"/>
      <c r="Q6" s="852"/>
    </row>
    <row r="7" spans="1:17" s="242" customFormat="1" ht="15" customHeight="1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317</v>
      </c>
      <c r="K7" s="295"/>
      <c r="L7" s="295"/>
      <c r="M7" s="295"/>
      <c r="N7" s="295"/>
      <c r="O7" s="295"/>
      <c r="P7" s="295"/>
      <c r="Q7" s="296"/>
    </row>
    <row r="8" spans="1:17" s="242" customFormat="1" ht="15" customHeight="1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51" t="s">
        <v>76</v>
      </c>
      <c r="K8" s="851"/>
      <c r="L8" s="851"/>
      <c r="M8" s="851"/>
      <c r="N8" s="851"/>
      <c r="O8" s="851"/>
      <c r="P8" s="851"/>
      <c r="Q8" s="852"/>
    </row>
    <row r="9" spans="1:17" s="242" customFormat="1" ht="15" customHeight="1">
      <c r="A9" s="297" t="s">
        <v>219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469" t="s">
        <v>484</v>
      </c>
      <c r="K9" s="469"/>
      <c r="L9" s="469"/>
      <c r="M9" s="469"/>
      <c r="N9" s="469"/>
      <c r="O9" s="469"/>
      <c r="P9" s="469"/>
      <c r="Q9" s="470"/>
    </row>
    <row r="10" spans="1:17" s="242" customFormat="1" ht="6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469"/>
      <c r="K10" s="469"/>
      <c r="L10" s="469"/>
      <c r="M10" s="469"/>
      <c r="N10" s="469"/>
      <c r="O10" s="469"/>
      <c r="P10" s="469"/>
      <c r="Q10" s="470"/>
    </row>
    <row r="11" spans="1:17" s="243" customFormat="1" ht="12.75">
      <c r="A11" s="394" t="s">
        <v>221</v>
      </c>
      <c r="B11" s="430"/>
      <c r="C11" s="430"/>
      <c r="D11" s="430"/>
      <c r="E11" s="430"/>
      <c r="F11" s="382"/>
      <c r="G11" s="382"/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6.7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.7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479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480" t="s">
        <v>5</v>
      </c>
      <c r="Q14" s="781"/>
    </row>
    <row r="15" spans="1:17" s="237" customFormat="1" ht="15.75" customHeight="1">
      <c r="A15" s="864">
        <v>1</v>
      </c>
      <c r="B15" s="865"/>
      <c r="C15" s="865"/>
      <c r="D15" s="865"/>
      <c r="E15" s="866"/>
      <c r="F15" s="864">
        <v>2</v>
      </c>
      <c r="G15" s="865"/>
      <c r="H15" s="865"/>
      <c r="I15" s="865"/>
      <c r="J15" s="865"/>
      <c r="K15" s="865"/>
      <c r="L15" s="865"/>
      <c r="M15" s="866"/>
      <c r="N15" s="239">
        <v>3</v>
      </c>
      <c r="O15" s="239"/>
      <c r="P15" s="239">
        <v>4</v>
      </c>
      <c r="Q15" s="239">
        <v>5</v>
      </c>
    </row>
    <row r="16" spans="1:17" s="242" customFormat="1" ht="15" customHeight="1">
      <c r="A16" s="879">
        <v>2</v>
      </c>
      <c r="B16" s="880"/>
      <c r="C16" s="492">
        <v>3</v>
      </c>
      <c r="D16" s="492">
        <v>8</v>
      </c>
      <c r="E16" s="492">
        <v>2</v>
      </c>
      <c r="F16" s="432" t="s">
        <v>14</v>
      </c>
      <c r="G16" s="474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SUM(Q17)</f>
        <v>6900000</v>
      </c>
    </row>
    <row r="17" spans="1:19" s="242" customFormat="1" ht="15" customHeight="1">
      <c r="A17" s="873"/>
      <c r="B17" s="874"/>
      <c r="C17" s="491"/>
      <c r="D17" s="491"/>
      <c r="E17" s="491"/>
      <c r="F17" s="489"/>
      <c r="G17" s="261" t="s">
        <v>318</v>
      </c>
      <c r="H17" s="260"/>
      <c r="I17" s="265"/>
      <c r="J17" s="265"/>
      <c r="K17" s="265"/>
      <c r="L17" s="265"/>
      <c r="M17" s="490"/>
      <c r="N17" s="491"/>
      <c r="O17" s="491"/>
      <c r="P17" s="267"/>
      <c r="Q17" s="320">
        <f>SUM(Q18:Q21)</f>
        <v>6900000</v>
      </c>
      <c r="S17" s="311"/>
    </row>
    <row r="18" spans="1:19" s="242" customFormat="1" ht="15" customHeight="1">
      <c r="A18" s="873"/>
      <c r="B18" s="874"/>
      <c r="C18" s="491"/>
      <c r="D18" s="491"/>
      <c r="E18" s="491"/>
      <c r="F18" s="489"/>
      <c r="G18" s="260" t="s">
        <v>49</v>
      </c>
      <c r="H18" s="260"/>
      <c r="I18" s="265">
        <v>1</v>
      </c>
      <c r="J18" s="265" t="s">
        <v>17</v>
      </c>
      <c r="K18" s="265" t="s">
        <v>20</v>
      </c>
      <c r="L18" s="265">
        <v>12</v>
      </c>
      <c r="M18" s="490" t="s">
        <v>21</v>
      </c>
      <c r="N18" s="491">
        <f>I18*L18</f>
        <v>12</v>
      </c>
      <c r="O18" s="491" t="s">
        <v>43</v>
      </c>
      <c r="P18" s="267">
        <v>80000</v>
      </c>
      <c r="Q18" s="267">
        <f>N18*P18</f>
        <v>960000</v>
      </c>
      <c r="S18" s="311"/>
    </row>
    <row r="19" spans="1:19" s="242" customFormat="1" ht="15" customHeight="1">
      <c r="A19" s="489"/>
      <c r="B19" s="490"/>
      <c r="C19" s="491"/>
      <c r="D19" s="491"/>
      <c r="E19" s="491"/>
      <c r="F19" s="489"/>
      <c r="G19" s="260" t="s">
        <v>66</v>
      </c>
      <c r="H19" s="260"/>
      <c r="I19" s="265">
        <v>1</v>
      </c>
      <c r="J19" s="265" t="s">
        <v>17</v>
      </c>
      <c r="K19" s="265" t="s">
        <v>20</v>
      </c>
      <c r="L19" s="265">
        <v>12</v>
      </c>
      <c r="M19" s="490" t="s">
        <v>21</v>
      </c>
      <c r="N19" s="491">
        <f t="shared" ref="N19:N20" si="0">I19*L19</f>
        <v>12</v>
      </c>
      <c r="O19" s="491" t="s">
        <v>43</v>
      </c>
      <c r="P19" s="267">
        <v>70000</v>
      </c>
      <c r="Q19" s="267">
        <f t="shared" ref="Q19:Q20" si="1">N19*P19</f>
        <v>840000</v>
      </c>
      <c r="S19" s="311"/>
    </row>
    <row r="20" spans="1:19" s="242" customFormat="1" ht="15" customHeight="1">
      <c r="A20" s="489"/>
      <c r="B20" s="490"/>
      <c r="C20" s="491"/>
      <c r="D20" s="491"/>
      <c r="E20" s="491"/>
      <c r="F20" s="489"/>
      <c r="G20" s="260" t="s">
        <v>75</v>
      </c>
      <c r="H20" s="260"/>
      <c r="I20" s="265">
        <v>1</v>
      </c>
      <c r="J20" s="265" t="s">
        <v>17</v>
      </c>
      <c r="K20" s="265" t="s">
        <v>20</v>
      </c>
      <c r="L20" s="265">
        <v>12</v>
      </c>
      <c r="M20" s="490" t="s">
        <v>21</v>
      </c>
      <c r="N20" s="491">
        <f t="shared" si="0"/>
        <v>12</v>
      </c>
      <c r="O20" s="491" t="s">
        <v>43</v>
      </c>
      <c r="P20" s="267">
        <v>65000</v>
      </c>
      <c r="Q20" s="267">
        <f t="shared" si="1"/>
        <v>780000</v>
      </c>
      <c r="S20" s="311"/>
    </row>
    <row r="21" spans="1:19" s="242" customFormat="1" ht="15" customHeight="1">
      <c r="A21" s="489"/>
      <c r="B21" s="490"/>
      <c r="C21" s="491"/>
      <c r="D21" s="491"/>
      <c r="E21" s="491"/>
      <c r="F21" s="489"/>
      <c r="G21" s="260" t="s">
        <v>50</v>
      </c>
      <c r="H21" s="260"/>
      <c r="I21" s="265">
        <v>6</v>
      </c>
      <c r="J21" s="265" t="s">
        <v>17</v>
      </c>
      <c r="K21" s="265" t="s">
        <v>20</v>
      </c>
      <c r="L21" s="265">
        <v>12</v>
      </c>
      <c r="M21" s="490" t="s">
        <v>21</v>
      </c>
      <c r="N21" s="491">
        <f>I21*L21</f>
        <v>72</v>
      </c>
      <c r="O21" s="491" t="s">
        <v>43</v>
      </c>
      <c r="P21" s="267">
        <v>60000</v>
      </c>
      <c r="Q21" s="267">
        <f>N21*P21</f>
        <v>4320000</v>
      </c>
      <c r="S21" s="311"/>
    </row>
    <row r="22" spans="1:19" s="242" customFormat="1" ht="15" customHeight="1">
      <c r="A22" s="489"/>
      <c r="B22" s="490"/>
      <c r="C22" s="491"/>
      <c r="D22" s="491"/>
      <c r="E22" s="491"/>
      <c r="F22" s="489"/>
      <c r="G22" s="260"/>
      <c r="H22" s="260"/>
      <c r="I22" s="265"/>
      <c r="J22" s="265"/>
      <c r="K22" s="265"/>
      <c r="L22" s="265"/>
      <c r="M22" s="490"/>
      <c r="N22" s="491"/>
      <c r="O22" s="491"/>
      <c r="P22" s="267"/>
      <c r="Q22" s="267"/>
      <c r="S22" s="311"/>
    </row>
    <row r="23" spans="1:19" s="242" customFormat="1" ht="15" customHeight="1">
      <c r="A23" s="501"/>
      <c r="B23" s="502"/>
      <c r="C23" s="273"/>
      <c r="D23" s="273"/>
      <c r="E23" s="273"/>
      <c r="F23" s="501"/>
      <c r="G23" s="275"/>
      <c r="H23" s="275"/>
      <c r="I23" s="275"/>
      <c r="J23" s="275"/>
      <c r="K23" s="274"/>
      <c r="L23" s="274"/>
      <c r="M23" s="502"/>
      <c r="N23" s="273"/>
      <c r="O23" s="273"/>
      <c r="P23" s="277"/>
      <c r="Q23" s="277"/>
    </row>
    <row r="24" spans="1:19" s="242" customFormat="1" ht="15" customHeight="1">
      <c r="A24" s="904"/>
      <c r="B24" s="905"/>
      <c r="C24" s="488"/>
      <c r="D24" s="488"/>
      <c r="E24" s="488"/>
      <c r="F24" s="848" t="s">
        <v>163</v>
      </c>
      <c r="G24" s="849"/>
      <c r="H24" s="849"/>
      <c r="I24" s="849"/>
      <c r="J24" s="849"/>
      <c r="K24" s="849"/>
      <c r="L24" s="849"/>
      <c r="M24" s="850"/>
      <c r="N24" s="449"/>
      <c r="O24" s="449"/>
      <c r="P24" s="449"/>
      <c r="Q24" s="350">
        <f>SUM(Q16)</f>
        <v>6900000</v>
      </c>
    </row>
    <row r="25" spans="1:19" s="242" customFormat="1" ht="15.75" customHeight="1">
      <c r="A25" s="450"/>
      <c r="B25" s="451"/>
      <c r="C25" s="451"/>
      <c r="D25" s="451"/>
      <c r="E25" s="451"/>
      <c r="F25" s="574"/>
      <c r="G25" s="574"/>
      <c r="H25" s="574"/>
      <c r="I25" s="574"/>
      <c r="J25" s="574"/>
      <c r="K25" s="574"/>
      <c r="L25" s="574"/>
      <c r="M25" s="574"/>
      <c r="N25" s="354"/>
      <c r="O25" s="354"/>
      <c r="P25" s="354"/>
      <c r="Q25" s="454"/>
    </row>
    <row r="26" spans="1:19" s="242" customFormat="1" ht="15.75" customHeight="1">
      <c r="A26" s="351"/>
      <c r="B26" s="286"/>
      <c r="C26" s="286"/>
      <c r="D26" s="286"/>
      <c r="E26" s="286"/>
      <c r="F26" s="268"/>
      <c r="G26" s="268"/>
      <c r="H26" s="268"/>
      <c r="I26" s="268"/>
      <c r="J26" s="268"/>
      <c r="K26" s="268"/>
      <c r="L26" s="268"/>
      <c r="M26" s="268"/>
      <c r="N26" s="284"/>
      <c r="O26" s="284"/>
      <c r="P26" s="284"/>
      <c r="Q26" s="353"/>
    </row>
    <row r="27" spans="1:19" s="242" customFormat="1" ht="15.75" customHeight="1">
      <c r="A27" s="351"/>
      <c r="B27" s="286"/>
      <c r="C27" s="286"/>
      <c r="D27" s="286"/>
      <c r="E27" s="286"/>
      <c r="F27" s="268"/>
      <c r="G27" s="268"/>
      <c r="H27" s="268"/>
      <c r="I27" s="268"/>
      <c r="J27" s="268"/>
      <c r="K27" s="268"/>
      <c r="L27" s="268"/>
      <c r="M27" s="268"/>
      <c r="N27" s="284"/>
      <c r="O27" s="284"/>
      <c r="P27" s="284"/>
      <c r="Q27" s="353"/>
    </row>
    <row r="28" spans="1:19" s="242" customFormat="1" ht="16.5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 t="s">
        <v>556</v>
      </c>
      <c r="Q28" s="285"/>
    </row>
    <row r="29" spans="1:19" s="242" customFormat="1" ht="16.5">
      <c r="A29" s="283"/>
      <c r="B29" s="284"/>
      <c r="C29" s="284"/>
      <c r="D29" s="284"/>
      <c r="E29" s="284"/>
      <c r="F29" s="284"/>
      <c r="G29" s="286" t="s">
        <v>168</v>
      </c>
      <c r="H29" s="284"/>
      <c r="I29" s="284"/>
      <c r="J29" s="284"/>
      <c r="K29" s="284"/>
      <c r="L29" s="284"/>
      <c r="M29" s="284"/>
      <c r="N29" s="284"/>
      <c r="O29" s="284"/>
      <c r="P29" s="469" t="s">
        <v>193</v>
      </c>
      <c r="Q29" s="285"/>
    </row>
    <row r="30" spans="1:19" s="242" customFormat="1" ht="16.5">
      <c r="A30" s="283"/>
      <c r="B30" s="284"/>
      <c r="C30" s="284"/>
      <c r="D30" s="284"/>
      <c r="E30" s="284"/>
      <c r="F30" s="284"/>
      <c r="G30" s="286" t="s">
        <v>303</v>
      </c>
      <c r="H30" s="284"/>
      <c r="I30" s="284"/>
      <c r="J30" s="284"/>
      <c r="K30" s="284"/>
      <c r="L30" s="284"/>
      <c r="M30" s="284"/>
      <c r="N30" s="284"/>
      <c r="O30" s="284"/>
      <c r="P30" s="284"/>
      <c r="Q30" s="285"/>
    </row>
    <row r="31" spans="1:19" s="242" customFormat="1" ht="16.5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5"/>
    </row>
    <row r="32" spans="1:19" s="242" customFormat="1" ht="16.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/>
    </row>
    <row r="33" spans="1:17" s="242" customFormat="1" ht="16.5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5"/>
    </row>
    <row r="34" spans="1:17" s="242" customFormat="1" ht="16.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5"/>
    </row>
    <row r="35" spans="1:17" s="242" customFormat="1" ht="16.5">
      <c r="A35" s="283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5"/>
    </row>
    <row r="36" spans="1:17" s="242" customFormat="1" ht="16.5">
      <c r="A36" s="283"/>
      <c r="B36" s="284"/>
      <c r="C36" s="284"/>
      <c r="D36" s="284"/>
      <c r="E36" s="284"/>
      <c r="F36" s="284"/>
      <c r="G36" s="303" t="s">
        <v>304</v>
      </c>
      <c r="H36" s="284"/>
      <c r="I36" s="284"/>
      <c r="J36" s="284"/>
      <c r="K36" s="284"/>
      <c r="L36" s="284"/>
      <c r="M36" s="284"/>
      <c r="N36" s="284"/>
      <c r="O36" s="284"/>
      <c r="P36" s="381" t="s">
        <v>551</v>
      </c>
      <c r="Q36" s="285"/>
    </row>
    <row r="37" spans="1:17" s="242" customFormat="1" ht="16.5">
      <c r="A37" s="287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9"/>
    </row>
    <row r="38" spans="1:17" s="242" customFormat="1" ht="16.5"/>
    <row r="39" spans="1:17" s="242" customFormat="1" ht="16.5"/>
    <row r="40" spans="1:17" s="242" customFormat="1" ht="16.5"/>
    <row r="41" spans="1:17" s="242" customFormat="1" ht="16.5"/>
    <row r="42" spans="1:17" s="242" customFormat="1" ht="16.5"/>
    <row r="43" spans="1:17" s="242" customFormat="1" ht="16.5"/>
    <row r="44" spans="1:17" s="242" customFormat="1" ht="16.5"/>
    <row r="45" spans="1:17" s="242" customFormat="1" ht="16.5"/>
    <row r="46" spans="1:17" s="242" customFormat="1" ht="16.5"/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8" customFormat="1"/>
    <row r="182" s="28" customFormat="1"/>
  </sheetData>
  <mergeCells count="17">
    <mergeCell ref="A16:B16"/>
    <mergeCell ref="A17:B17"/>
    <mergeCell ref="A18:B18"/>
    <mergeCell ref="A24:B24"/>
    <mergeCell ref="F24:M24"/>
    <mergeCell ref="A15:E15"/>
    <mergeCell ref="F15:M15"/>
    <mergeCell ref="A1:Q1"/>
    <mergeCell ref="A2:Q2"/>
    <mergeCell ref="A3:Q3"/>
    <mergeCell ref="J6:Q6"/>
    <mergeCell ref="J8:Q8"/>
    <mergeCell ref="A13:E14"/>
    <mergeCell ref="F13:M14"/>
    <mergeCell ref="N13:N14"/>
    <mergeCell ref="O13:O14"/>
    <mergeCell ref="Q13:Q14"/>
  </mergeCells>
  <printOptions horizontalCentered="1"/>
  <pageMargins left="0.5" right="0.5" top="1" bottom="0.5" header="0.28000000000000003" footer="0.28000000000000003"/>
  <pageSetup paperSize="5" scale="90" orientation="portrait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F0"/>
  </sheetPr>
  <dimension ref="A1:T182"/>
  <sheetViews>
    <sheetView topLeftCell="A4" zoomScaleSheetLayoutView="90" workbookViewId="0">
      <selection activeCell="U21" sqref="U21"/>
    </sheetView>
  </sheetViews>
  <sheetFormatPr defaultRowHeight="15"/>
  <cols>
    <col min="1" max="1" width="2" customWidth="1"/>
    <col min="2" max="2" width="0.7109375" customWidth="1"/>
    <col min="3" max="5" width="2.7109375" customWidth="1"/>
    <col min="6" max="6" width="2" customWidth="1"/>
    <col min="7" max="7" width="22.5703125" customWidth="1"/>
    <col min="8" max="8" width="1.5703125" hidden="1" customWidth="1"/>
    <col min="9" max="9" width="3.140625" customWidth="1"/>
    <col min="10" max="10" width="4.140625" customWidth="1"/>
    <col min="11" max="11" width="2.5703125" customWidth="1"/>
    <col min="12" max="12" width="3" customWidth="1"/>
    <col min="13" max="13" width="4.140625" customWidth="1"/>
    <col min="14" max="14" width="7.7109375" customWidth="1"/>
    <col min="15" max="15" width="6.85546875" customWidth="1"/>
    <col min="16" max="16" width="14" customWidth="1"/>
    <col min="17" max="17" width="17.42578125" customWidth="1"/>
    <col min="19" max="19" width="10.5703125" bestFit="1" customWidth="1"/>
    <col min="20" max="20" width="10" bestFit="1" customWidth="1"/>
  </cols>
  <sheetData>
    <row r="1" spans="1:17" s="247" customFormat="1" ht="18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7" customFormat="1" ht="18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9" customFormat="1" ht="15.7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85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7"/>
    </row>
    <row r="5" spans="1:17" s="242" customFormat="1" ht="14.25" customHeight="1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5" customHeight="1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441</v>
      </c>
      <c r="K6" s="851"/>
      <c r="L6" s="851"/>
      <c r="M6" s="851"/>
      <c r="N6" s="851"/>
      <c r="O6" s="851"/>
      <c r="P6" s="851"/>
      <c r="Q6" s="852"/>
    </row>
    <row r="7" spans="1:17" s="242" customFormat="1" ht="15" customHeight="1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277</v>
      </c>
      <c r="K7" s="295"/>
      <c r="L7" s="295"/>
      <c r="M7" s="295"/>
      <c r="N7" s="295"/>
      <c r="O7" s="295"/>
      <c r="P7" s="295"/>
      <c r="Q7" s="296"/>
    </row>
    <row r="8" spans="1:17" s="242" customFormat="1" ht="15" customHeight="1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51" t="s">
        <v>76</v>
      </c>
      <c r="K8" s="851"/>
      <c r="L8" s="851"/>
      <c r="M8" s="851"/>
      <c r="N8" s="851"/>
      <c r="O8" s="851"/>
      <c r="P8" s="851"/>
      <c r="Q8" s="852"/>
    </row>
    <row r="9" spans="1:17" s="242" customFormat="1" ht="15" customHeight="1">
      <c r="A9" s="297" t="s">
        <v>219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469" t="s">
        <v>288</v>
      </c>
      <c r="K9" s="469"/>
      <c r="L9" s="469"/>
      <c r="M9" s="469"/>
      <c r="N9" s="469"/>
      <c r="O9" s="469"/>
      <c r="P9" s="469"/>
      <c r="Q9" s="470"/>
    </row>
    <row r="10" spans="1:17" s="242" customFormat="1" ht="6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469"/>
      <c r="K10" s="469"/>
      <c r="L10" s="469"/>
      <c r="M10" s="469"/>
      <c r="N10" s="469"/>
      <c r="O10" s="469"/>
      <c r="P10" s="469"/>
      <c r="Q10" s="470"/>
    </row>
    <row r="11" spans="1:17" s="243" customFormat="1" ht="12.75">
      <c r="A11" s="394" t="s">
        <v>218</v>
      </c>
      <c r="B11" s="430"/>
      <c r="C11" s="430"/>
      <c r="D11" s="430"/>
      <c r="E11" s="430"/>
      <c r="F11" s="382"/>
      <c r="G11" s="575" t="s">
        <v>12</v>
      </c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6.7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.7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479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480" t="s">
        <v>5</v>
      </c>
      <c r="Q14" s="781"/>
    </row>
    <row r="15" spans="1:17" s="237" customFormat="1" ht="15.75" customHeight="1">
      <c r="A15" s="864">
        <v>1</v>
      </c>
      <c r="B15" s="865"/>
      <c r="C15" s="865"/>
      <c r="D15" s="865"/>
      <c r="E15" s="866"/>
      <c r="F15" s="864">
        <v>2</v>
      </c>
      <c r="G15" s="865"/>
      <c r="H15" s="865"/>
      <c r="I15" s="865"/>
      <c r="J15" s="865"/>
      <c r="K15" s="865"/>
      <c r="L15" s="865"/>
      <c r="M15" s="866"/>
      <c r="N15" s="239">
        <v>3</v>
      </c>
      <c r="O15" s="239"/>
      <c r="P15" s="239">
        <v>4</v>
      </c>
      <c r="Q15" s="239">
        <v>5</v>
      </c>
    </row>
    <row r="16" spans="1:17" s="242" customFormat="1" ht="15" customHeight="1">
      <c r="A16" s="879">
        <v>2</v>
      </c>
      <c r="B16" s="880"/>
      <c r="C16" s="492">
        <v>3</v>
      </c>
      <c r="D16" s="492">
        <v>9</v>
      </c>
      <c r="E16" s="492">
        <v>2</v>
      </c>
      <c r="F16" s="432" t="s">
        <v>14</v>
      </c>
      <c r="G16" s="474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SUM(Q17)</f>
        <v>7800000</v>
      </c>
    </row>
    <row r="17" spans="1:20" s="242" customFormat="1" ht="15" customHeight="1">
      <c r="A17" s="873"/>
      <c r="B17" s="874"/>
      <c r="C17" s="491"/>
      <c r="D17" s="491"/>
      <c r="E17" s="491"/>
      <c r="F17" s="489"/>
      <c r="G17" s="261" t="s">
        <v>189</v>
      </c>
      <c r="H17" s="260"/>
      <c r="I17" s="265"/>
      <c r="J17" s="265"/>
      <c r="K17" s="265"/>
      <c r="L17" s="265"/>
      <c r="M17" s="490"/>
      <c r="N17" s="491"/>
      <c r="O17" s="491"/>
      <c r="P17" s="267"/>
      <c r="Q17" s="320">
        <f>SUM(Q18)</f>
        <v>7800000</v>
      </c>
      <c r="S17" s="311"/>
    </row>
    <row r="18" spans="1:20" s="242" customFormat="1" ht="15" customHeight="1">
      <c r="A18" s="873"/>
      <c r="B18" s="874"/>
      <c r="C18" s="491"/>
      <c r="D18" s="491"/>
      <c r="E18" s="491"/>
      <c r="F18" s="489"/>
      <c r="G18" s="260" t="s">
        <v>79</v>
      </c>
      <c r="H18" s="260"/>
      <c r="I18" s="265">
        <v>13</v>
      </c>
      <c r="J18" s="265" t="s">
        <v>17</v>
      </c>
      <c r="K18" s="265" t="s">
        <v>20</v>
      </c>
      <c r="L18" s="265">
        <v>12</v>
      </c>
      <c r="M18" s="490" t="s">
        <v>21</v>
      </c>
      <c r="N18" s="491">
        <f>I18*L18</f>
        <v>156</v>
      </c>
      <c r="O18" s="491" t="s">
        <v>43</v>
      </c>
      <c r="P18" s="267">
        <v>50000</v>
      </c>
      <c r="Q18" s="267">
        <f>N18*P18</f>
        <v>7800000</v>
      </c>
      <c r="S18" s="311"/>
      <c r="T18" s="311">
        <f>I18*5*50000</f>
        <v>3250000</v>
      </c>
    </row>
    <row r="19" spans="1:20" s="242" customFormat="1" ht="15" customHeight="1">
      <c r="A19" s="489"/>
      <c r="B19" s="490"/>
      <c r="C19" s="491"/>
      <c r="D19" s="491"/>
      <c r="E19" s="491"/>
      <c r="F19" s="489"/>
      <c r="G19" s="260"/>
      <c r="H19" s="260"/>
      <c r="I19" s="265"/>
      <c r="J19" s="265"/>
      <c r="K19" s="265"/>
      <c r="L19" s="265"/>
      <c r="M19" s="490"/>
      <c r="N19" s="491"/>
      <c r="O19" s="491"/>
      <c r="P19" s="267"/>
      <c r="Q19" s="267"/>
      <c r="S19" s="311"/>
    </row>
    <row r="20" spans="1:20" s="242" customFormat="1" ht="15" customHeight="1">
      <c r="A20" s="489"/>
      <c r="B20" s="490"/>
      <c r="C20" s="491"/>
      <c r="D20" s="491"/>
      <c r="E20" s="491"/>
      <c r="F20" s="489"/>
      <c r="G20" s="260"/>
      <c r="H20" s="260"/>
      <c r="I20" s="265"/>
      <c r="J20" s="265"/>
      <c r="K20" s="265"/>
      <c r="L20" s="265"/>
      <c r="M20" s="490"/>
      <c r="N20" s="491"/>
      <c r="O20" s="491"/>
      <c r="P20" s="267"/>
      <c r="Q20" s="267"/>
      <c r="S20" s="311"/>
    </row>
    <row r="21" spans="1:20" s="242" customFormat="1" ht="15" customHeight="1">
      <c r="A21" s="489"/>
      <c r="B21" s="490"/>
      <c r="C21" s="491"/>
      <c r="D21" s="491"/>
      <c r="E21" s="491"/>
      <c r="F21" s="489"/>
      <c r="G21" s="260"/>
      <c r="H21" s="260"/>
      <c r="I21" s="265"/>
      <c r="J21" s="265"/>
      <c r="K21" s="265"/>
      <c r="L21" s="265"/>
      <c r="M21" s="490"/>
      <c r="N21" s="491"/>
      <c r="O21" s="491"/>
      <c r="P21" s="267"/>
      <c r="Q21" s="267"/>
      <c r="S21" s="311"/>
    </row>
    <row r="22" spans="1:20" s="242" customFormat="1" ht="15" customHeight="1">
      <c r="A22" s="489"/>
      <c r="B22" s="490"/>
      <c r="C22" s="491"/>
      <c r="D22" s="491"/>
      <c r="E22" s="491"/>
      <c r="F22" s="489"/>
      <c r="G22" s="260"/>
      <c r="H22" s="260"/>
      <c r="I22" s="265"/>
      <c r="J22" s="265"/>
      <c r="K22" s="265"/>
      <c r="L22" s="265"/>
      <c r="M22" s="490"/>
      <c r="N22" s="491"/>
      <c r="O22" s="491"/>
      <c r="P22" s="267"/>
      <c r="Q22" s="267"/>
      <c r="S22" s="311"/>
    </row>
    <row r="23" spans="1:20" s="242" customFormat="1" ht="15" customHeight="1">
      <c r="A23" s="501"/>
      <c r="B23" s="502"/>
      <c r="C23" s="273"/>
      <c r="D23" s="273"/>
      <c r="E23" s="273"/>
      <c r="F23" s="501"/>
      <c r="G23" s="275"/>
      <c r="H23" s="275"/>
      <c r="I23" s="275"/>
      <c r="J23" s="275"/>
      <c r="K23" s="274"/>
      <c r="L23" s="274"/>
      <c r="M23" s="502"/>
      <c r="N23" s="273"/>
      <c r="O23" s="273"/>
      <c r="P23" s="277"/>
      <c r="Q23" s="277"/>
    </row>
    <row r="24" spans="1:20" s="242" customFormat="1" ht="15" customHeight="1">
      <c r="A24" s="904"/>
      <c r="B24" s="905"/>
      <c r="C24" s="488"/>
      <c r="D24" s="488"/>
      <c r="E24" s="488"/>
      <c r="F24" s="848" t="s">
        <v>163</v>
      </c>
      <c r="G24" s="849"/>
      <c r="H24" s="849"/>
      <c r="I24" s="849"/>
      <c r="J24" s="849"/>
      <c r="K24" s="849"/>
      <c r="L24" s="849"/>
      <c r="M24" s="850"/>
      <c r="N24" s="449"/>
      <c r="O24" s="449"/>
      <c r="P24" s="449"/>
      <c r="Q24" s="350">
        <f>SUM(Q16)</f>
        <v>7800000</v>
      </c>
    </row>
    <row r="25" spans="1:20" s="242" customFormat="1" ht="15.75" customHeight="1">
      <c r="A25" s="450"/>
      <c r="B25" s="451"/>
      <c r="C25" s="451"/>
      <c r="D25" s="451"/>
      <c r="E25" s="451"/>
      <c r="F25" s="574"/>
      <c r="G25" s="574"/>
      <c r="H25" s="574"/>
      <c r="I25" s="574"/>
      <c r="J25" s="574"/>
      <c r="K25" s="574"/>
      <c r="L25" s="574"/>
      <c r="M25" s="574"/>
      <c r="N25" s="354"/>
      <c r="O25" s="354"/>
      <c r="P25" s="354"/>
      <c r="Q25" s="454"/>
    </row>
    <row r="26" spans="1:20" s="242" customFormat="1" ht="15.75" customHeight="1">
      <c r="A26" s="351"/>
      <c r="B26" s="286"/>
      <c r="C26" s="286"/>
      <c r="D26" s="286"/>
      <c r="E26" s="286"/>
      <c r="F26" s="268"/>
      <c r="G26" s="268"/>
      <c r="H26" s="268"/>
      <c r="I26" s="268"/>
      <c r="J26" s="268"/>
      <c r="K26" s="268"/>
      <c r="L26" s="268"/>
      <c r="M26" s="268"/>
      <c r="N26" s="284"/>
      <c r="O26" s="284"/>
      <c r="P26" s="284"/>
      <c r="Q26" s="353"/>
    </row>
    <row r="27" spans="1:20" s="242" customFormat="1" ht="15.75" customHeight="1">
      <c r="A27" s="351"/>
      <c r="B27" s="286"/>
      <c r="C27" s="286"/>
      <c r="D27" s="286"/>
      <c r="E27" s="286"/>
      <c r="F27" s="268"/>
      <c r="G27" s="268"/>
      <c r="H27" s="268"/>
      <c r="I27" s="268"/>
      <c r="J27" s="268"/>
      <c r="K27" s="268"/>
      <c r="L27" s="268"/>
      <c r="M27" s="268"/>
      <c r="N27" s="284"/>
      <c r="O27" s="284"/>
      <c r="P27" s="284"/>
      <c r="Q27" s="353"/>
    </row>
    <row r="28" spans="1:20" s="242" customFormat="1" ht="16.5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 t="s">
        <v>556</v>
      </c>
      <c r="Q28" s="285"/>
    </row>
    <row r="29" spans="1:20" s="242" customFormat="1" ht="16.5">
      <c r="A29" s="283"/>
      <c r="B29" s="284"/>
      <c r="C29" s="284"/>
      <c r="D29" s="284"/>
      <c r="E29" s="284"/>
      <c r="F29" s="284"/>
      <c r="G29" s="286" t="s">
        <v>168</v>
      </c>
      <c r="H29" s="284"/>
      <c r="I29" s="284"/>
      <c r="J29" s="284"/>
      <c r="K29" s="284"/>
      <c r="L29" s="284"/>
      <c r="M29" s="284"/>
      <c r="N29" s="284"/>
      <c r="O29" s="284"/>
      <c r="P29" s="469" t="s">
        <v>193</v>
      </c>
      <c r="Q29" s="285"/>
    </row>
    <row r="30" spans="1:20" s="242" customFormat="1" ht="16.5">
      <c r="A30" s="283"/>
      <c r="B30" s="284"/>
      <c r="C30" s="284"/>
      <c r="D30" s="284"/>
      <c r="E30" s="284"/>
      <c r="F30" s="284"/>
      <c r="G30" s="286" t="s">
        <v>303</v>
      </c>
      <c r="H30" s="284"/>
      <c r="I30" s="284"/>
      <c r="J30" s="284"/>
      <c r="K30" s="284"/>
      <c r="L30" s="284"/>
      <c r="M30" s="284"/>
      <c r="N30" s="284"/>
      <c r="O30" s="284"/>
      <c r="P30" s="284"/>
      <c r="Q30" s="285"/>
    </row>
    <row r="31" spans="1:20" s="242" customFormat="1" ht="16.5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5"/>
    </row>
    <row r="32" spans="1:20" s="242" customFormat="1" ht="16.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/>
    </row>
    <row r="33" spans="1:17" s="242" customFormat="1" ht="16.5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5"/>
    </row>
    <row r="34" spans="1:17" s="242" customFormat="1" ht="16.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5"/>
    </row>
    <row r="35" spans="1:17" s="242" customFormat="1" ht="16.5">
      <c r="A35" s="283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5"/>
    </row>
    <row r="36" spans="1:17" s="242" customFormat="1" ht="16.5">
      <c r="A36" s="283"/>
      <c r="B36" s="284"/>
      <c r="C36" s="284"/>
      <c r="D36" s="284"/>
      <c r="E36" s="284"/>
      <c r="F36" s="284"/>
      <c r="G36" s="303" t="s">
        <v>304</v>
      </c>
      <c r="H36" s="284"/>
      <c r="I36" s="284"/>
      <c r="J36" s="284"/>
      <c r="K36" s="284"/>
      <c r="L36" s="284"/>
      <c r="M36" s="284"/>
      <c r="N36" s="284"/>
      <c r="O36" s="284"/>
      <c r="P36" s="381" t="s">
        <v>551</v>
      </c>
      <c r="Q36" s="285"/>
    </row>
    <row r="37" spans="1:17" s="242" customFormat="1" ht="16.5">
      <c r="A37" s="287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9"/>
    </row>
    <row r="38" spans="1:17" s="242" customFormat="1" ht="16.5"/>
    <row r="39" spans="1:17" s="242" customFormat="1" ht="16.5"/>
    <row r="40" spans="1:17" s="242" customFormat="1" ht="16.5"/>
    <row r="41" spans="1:17" s="242" customFormat="1" ht="16.5"/>
    <row r="42" spans="1:17" s="242" customFormat="1" ht="16.5"/>
    <row r="43" spans="1:17" s="242" customFormat="1" ht="16.5"/>
    <row r="44" spans="1:17" s="242" customFormat="1" ht="16.5"/>
    <row r="45" spans="1:17" s="242" customFormat="1" ht="16.5"/>
    <row r="46" spans="1:17" s="242" customFormat="1" ht="16.5"/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8" customFormat="1"/>
    <row r="182" s="28" customFormat="1"/>
  </sheetData>
  <mergeCells count="17">
    <mergeCell ref="A1:Q1"/>
    <mergeCell ref="A2:Q2"/>
    <mergeCell ref="A3:Q3"/>
    <mergeCell ref="J6:Q6"/>
    <mergeCell ref="J8:Q8"/>
    <mergeCell ref="Q13:Q14"/>
    <mergeCell ref="F15:M15"/>
    <mergeCell ref="A24:B24"/>
    <mergeCell ref="A18:B18"/>
    <mergeCell ref="F24:M24"/>
    <mergeCell ref="A13:E14"/>
    <mergeCell ref="A15:E15"/>
    <mergeCell ref="A16:B16"/>
    <mergeCell ref="A17:B17"/>
    <mergeCell ref="F13:M14"/>
    <mergeCell ref="N13:N14"/>
    <mergeCell ref="O13:O14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0000"/>
  </sheetPr>
  <dimension ref="A1:S179"/>
  <sheetViews>
    <sheetView topLeftCell="A15" zoomScaleSheetLayoutView="90" workbookViewId="0">
      <selection activeCell="I32" sqref="I32"/>
    </sheetView>
  </sheetViews>
  <sheetFormatPr defaultRowHeight="15"/>
  <cols>
    <col min="1" max="1" width="2" customWidth="1"/>
    <col min="2" max="2" width="1.140625" customWidth="1"/>
    <col min="3" max="5" width="2.85546875" customWidth="1"/>
    <col min="6" max="6" width="1.140625" customWidth="1"/>
    <col min="7" max="7" width="21.42578125" customWidth="1"/>
    <col min="8" max="8" width="1.5703125" hidden="1" customWidth="1"/>
    <col min="9" max="9" width="2.85546875" customWidth="1"/>
    <col min="10" max="10" width="4.85546875" customWidth="1"/>
    <col min="11" max="11" width="2.42578125" customWidth="1"/>
    <col min="12" max="12" width="3.5703125" customWidth="1"/>
    <col min="13" max="13" width="4.42578125" customWidth="1"/>
    <col min="14" max="14" width="7.140625" customWidth="1"/>
    <col min="15" max="15" width="7" customWidth="1"/>
    <col min="16" max="16" width="14" customWidth="1"/>
    <col min="17" max="17" width="17" customWidth="1"/>
    <col min="19" max="19" width="10.5703125" bestFit="1" customWidth="1"/>
    <col min="20" max="20" width="10" bestFit="1" customWidth="1"/>
  </cols>
  <sheetData>
    <row r="1" spans="1:17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2" customFormat="1" ht="18.75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2" customFormat="1" ht="16.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85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7"/>
    </row>
    <row r="5" spans="1:17" s="242" customFormat="1" ht="16.5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5" customHeight="1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497</v>
      </c>
      <c r="K6" s="851"/>
      <c r="L6" s="851"/>
      <c r="M6" s="851"/>
      <c r="N6" s="851"/>
      <c r="O6" s="851"/>
      <c r="P6" s="851"/>
      <c r="Q6" s="852"/>
    </row>
    <row r="7" spans="1:17" s="242" customFormat="1" ht="15" customHeight="1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437</v>
      </c>
      <c r="K7" s="295"/>
      <c r="L7" s="295"/>
      <c r="M7" s="295"/>
      <c r="N7" s="295"/>
      <c r="O7" s="295"/>
      <c r="P7" s="295"/>
      <c r="Q7" s="296"/>
    </row>
    <row r="8" spans="1:17" s="242" customFormat="1" ht="15" customHeight="1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90" t="s">
        <v>574</v>
      </c>
      <c r="K8" s="851"/>
      <c r="L8" s="851"/>
      <c r="M8" s="851"/>
      <c r="N8" s="851"/>
      <c r="O8" s="851"/>
      <c r="P8" s="851"/>
      <c r="Q8" s="852"/>
    </row>
    <row r="9" spans="1:17" s="242" customFormat="1" ht="15" customHeight="1">
      <c r="A9" s="297" t="s">
        <v>219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469" t="s">
        <v>288</v>
      </c>
      <c r="K9" s="469"/>
      <c r="L9" s="469"/>
      <c r="M9" s="469"/>
      <c r="N9" s="469"/>
      <c r="O9" s="469"/>
      <c r="P9" s="469"/>
      <c r="Q9" s="470"/>
    </row>
    <row r="10" spans="1:17" s="242" customFormat="1" ht="6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469"/>
      <c r="K10" s="469"/>
      <c r="L10" s="469"/>
      <c r="M10" s="469"/>
      <c r="N10" s="469"/>
      <c r="O10" s="469"/>
      <c r="P10" s="469"/>
      <c r="Q10" s="470"/>
    </row>
    <row r="11" spans="1:17" s="243" customFormat="1" ht="12.75">
      <c r="A11" s="394" t="s">
        <v>221</v>
      </c>
      <c r="B11" s="430"/>
      <c r="C11" s="430"/>
      <c r="D11" s="430"/>
      <c r="E11" s="430"/>
      <c r="F11" s="382"/>
      <c r="G11" s="382"/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6.7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.7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479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480" t="s">
        <v>5</v>
      </c>
      <c r="Q14" s="781"/>
    </row>
    <row r="15" spans="1:17" s="237" customFormat="1" ht="15.75" customHeight="1">
      <c r="A15" s="864">
        <v>1</v>
      </c>
      <c r="B15" s="865"/>
      <c r="C15" s="865"/>
      <c r="D15" s="865"/>
      <c r="E15" s="866"/>
      <c r="F15" s="864">
        <v>2</v>
      </c>
      <c r="G15" s="865"/>
      <c r="H15" s="865"/>
      <c r="I15" s="865"/>
      <c r="J15" s="865"/>
      <c r="K15" s="865"/>
      <c r="L15" s="865"/>
      <c r="M15" s="866"/>
      <c r="N15" s="239">
        <v>3</v>
      </c>
      <c r="O15" s="239"/>
      <c r="P15" s="239">
        <v>4</v>
      </c>
      <c r="Q15" s="239">
        <v>5</v>
      </c>
    </row>
    <row r="16" spans="1:17" s="242" customFormat="1" ht="15" customHeight="1">
      <c r="A16" s="879">
        <v>2</v>
      </c>
      <c r="B16" s="880"/>
      <c r="C16" s="492">
        <v>4</v>
      </c>
      <c r="D16" s="492">
        <v>7</v>
      </c>
      <c r="E16" s="492">
        <v>2</v>
      </c>
      <c r="F16" s="432" t="s">
        <v>14</v>
      </c>
      <c r="G16" s="474" t="s">
        <v>48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SUM(Q17)</f>
        <v>6000000</v>
      </c>
    </row>
    <row r="17" spans="1:19" s="242" customFormat="1" ht="15" customHeight="1">
      <c r="A17" s="877"/>
      <c r="B17" s="878"/>
      <c r="C17" s="408"/>
      <c r="D17" s="408"/>
      <c r="E17" s="408"/>
      <c r="F17" s="493"/>
      <c r="G17" s="309" t="s">
        <v>572</v>
      </c>
      <c r="H17" s="309"/>
      <c r="I17" s="415"/>
      <c r="J17" s="415"/>
      <c r="K17" s="415"/>
      <c r="L17" s="415"/>
      <c r="M17" s="494"/>
      <c r="N17" s="408">
        <v>1</v>
      </c>
      <c r="O17" s="408" t="s">
        <v>177</v>
      </c>
      <c r="P17" s="417">
        <v>6000000</v>
      </c>
      <c r="Q17" s="417">
        <f>N17*P17</f>
        <v>6000000</v>
      </c>
      <c r="S17" s="311"/>
    </row>
    <row r="18" spans="1:19" s="242" customFormat="1" ht="15" customHeight="1">
      <c r="A18" s="499"/>
      <c r="B18" s="500"/>
      <c r="C18" s="420"/>
      <c r="D18" s="420"/>
      <c r="E18" s="420"/>
      <c r="F18" s="493"/>
      <c r="G18" s="309"/>
      <c r="H18" s="309"/>
      <c r="I18" s="415"/>
      <c r="J18" s="415"/>
      <c r="K18" s="415"/>
      <c r="L18" s="415"/>
      <c r="M18" s="494"/>
      <c r="N18" s="408"/>
      <c r="O18" s="408"/>
      <c r="P18" s="417"/>
      <c r="Q18" s="417"/>
      <c r="S18" s="311"/>
    </row>
    <row r="19" spans="1:19" s="242" customFormat="1" ht="15" customHeight="1">
      <c r="A19" s="493"/>
      <c r="B19" s="494"/>
      <c r="C19" s="408"/>
      <c r="D19" s="408"/>
      <c r="E19" s="408"/>
      <c r="F19" s="493"/>
      <c r="G19" s="309"/>
      <c r="H19" s="309"/>
      <c r="I19" s="415"/>
      <c r="J19" s="415"/>
      <c r="K19" s="415"/>
      <c r="L19" s="415"/>
      <c r="M19" s="494"/>
      <c r="N19" s="408"/>
      <c r="O19" s="408"/>
      <c r="P19" s="417"/>
      <c r="Q19" s="417"/>
      <c r="S19" s="311"/>
    </row>
    <row r="20" spans="1:19" s="242" customFormat="1" ht="15" customHeight="1">
      <c r="A20" s="495"/>
      <c r="B20" s="496"/>
      <c r="C20" s="438"/>
      <c r="D20" s="438"/>
      <c r="E20" s="438"/>
      <c r="F20" s="495"/>
      <c r="G20" s="376"/>
      <c r="H20" s="376"/>
      <c r="I20" s="376"/>
      <c r="J20" s="376"/>
      <c r="K20" s="439"/>
      <c r="L20" s="439"/>
      <c r="M20" s="496"/>
      <c r="N20" s="438"/>
      <c r="O20" s="438"/>
      <c r="P20" s="441"/>
      <c r="Q20" s="441"/>
    </row>
    <row r="21" spans="1:19" s="242" customFormat="1" ht="15" customHeight="1">
      <c r="A21" s="768"/>
      <c r="B21" s="883"/>
      <c r="C21" s="426"/>
      <c r="D21" s="426"/>
      <c r="E21" s="426"/>
      <c r="F21" s="760" t="s">
        <v>163</v>
      </c>
      <c r="G21" s="761"/>
      <c r="H21" s="761"/>
      <c r="I21" s="761"/>
      <c r="J21" s="761"/>
      <c r="K21" s="761"/>
      <c r="L21" s="761"/>
      <c r="M21" s="764"/>
      <c r="N21" s="442"/>
      <c r="O21" s="442"/>
      <c r="P21" s="442"/>
      <c r="Q21" s="429">
        <f>SUM(Q16)</f>
        <v>6000000</v>
      </c>
    </row>
    <row r="22" spans="1:19" s="242" customFormat="1" ht="15.75" customHeight="1">
      <c r="A22" s="351"/>
      <c r="B22" s="286"/>
      <c r="C22" s="286"/>
      <c r="D22" s="286"/>
      <c r="E22" s="286"/>
      <c r="F22" s="268"/>
      <c r="G22" s="268"/>
      <c r="H22" s="268"/>
      <c r="I22" s="268"/>
      <c r="J22" s="268"/>
      <c r="K22" s="268"/>
      <c r="L22" s="268"/>
      <c r="M22" s="268"/>
      <c r="N22" s="284"/>
      <c r="O22" s="284"/>
      <c r="P22" s="284"/>
      <c r="Q22" s="353"/>
    </row>
    <row r="23" spans="1:19" s="242" customFormat="1" ht="15.75" customHeight="1">
      <c r="A23" s="351"/>
      <c r="B23" s="286"/>
      <c r="C23" s="286"/>
      <c r="D23" s="286"/>
      <c r="E23" s="286"/>
      <c r="F23" s="268"/>
      <c r="G23" s="268"/>
      <c r="H23" s="268"/>
      <c r="I23" s="268"/>
      <c r="J23" s="268"/>
      <c r="K23" s="268"/>
      <c r="L23" s="268"/>
      <c r="M23" s="268"/>
      <c r="N23" s="284"/>
      <c r="O23" s="284"/>
      <c r="P23" s="284"/>
      <c r="Q23" s="353"/>
    </row>
    <row r="24" spans="1:19" s="242" customFormat="1" ht="15.75" customHeight="1">
      <c r="A24" s="351"/>
      <c r="B24" s="286"/>
      <c r="C24" s="286"/>
      <c r="D24" s="286"/>
      <c r="E24" s="286"/>
      <c r="F24" s="268"/>
      <c r="G24" s="268"/>
      <c r="H24" s="268"/>
      <c r="I24" s="268"/>
      <c r="J24" s="268"/>
      <c r="K24" s="268"/>
      <c r="L24" s="268"/>
      <c r="M24" s="268"/>
      <c r="N24" s="284"/>
      <c r="O24" s="284"/>
      <c r="P24" s="284"/>
      <c r="Q24" s="353"/>
    </row>
    <row r="25" spans="1:19" s="242" customFormat="1" ht="16.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 t="s">
        <v>559</v>
      </c>
      <c r="Q25" s="285"/>
    </row>
    <row r="26" spans="1:19" s="242" customFormat="1" ht="16.5">
      <c r="A26" s="283"/>
      <c r="B26" s="284"/>
      <c r="C26" s="284"/>
      <c r="D26" s="284"/>
      <c r="E26" s="284"/>
      <c r="F26" s="284"/>
      <c r="G26" s="286" t="s">
        <v>168</v>
      </c>
      <c r="H26" s="284"/>
      <c r="I26" s="284"/>
      <c r="J26" s="284"/>
      <c r="K26" s="284"/>
      <c r="L26" s="284"/>
      <c r="M26" s="284"/>
      <c r="N26" s="284"/>
      <c r="O26" s="284"/>
      <c r="P26" s="469" t="s">
        <v>193</v>
      </c>
      <c r="Q26" s="285"/>
    </row>
    <row r="27" spans="1:19" s="242" customFormat="1" ht="16.5">
      <c r="A27" s="283"/>
      <c r="B27" s="284"/>
      <c r="C27" s="284"/>
      <c r="D27" s="284"/>
      <c r="E27" s="284"/>
      <c r="F27" s="284"/>
      <c r="G27" s="286" t="s">
        <v>303</v>
      </c>
      <c r="H27" s="284"/>
      <c r="I27" s="284"/>
      <c r="J27" s="284"/>
      <c r="K27" s="284"/>
      <c r="L27" s="284"/>
      <c r="M27" s="284"/>
      <c r="N27" s="284"/>
      <c r="O27" s="284"/>
      <c r="P27" s="284"/>
      <c r="Q27" s="285"/>
    </row>
    <row r="28" spans="1:19" s="242" customFormat="1" ht="16.5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5"/>
    </row>
    <row r="29" spans="1:19" s="242" customFormat="1" ht="16.5">
      <c r="A29" s="283"/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5"/>
    </row>
    <row r="30" spans="1:19" s="242" customFormat="1" ht="16.5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5"/>
    </row>
    <row r="31" spans="1:19" s="242" customFormat="1" ht="16.5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5"/>
    </row>
    <row r="32" spans="1:19" s="242" customFormat="1" ht="16.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5"/>
    </row>
    <row r="33" spans="1:17" s="242" customFormat="1" ht="16.5">
      <c r="A33" s="283"/>
      <c r="B33" s="284"/>
      <c r="C33" s="284"/>
      <c r="D33" s="284"/>
      <c r="E33" s="284"/>
      <c r="F33" s="284"/>
      <c r="G33" s="303" t="s">
        <v>304</v>
      </c>
      <c r="H33" s="284"/>
      <c r="I33" s="284"/>
      <c r="J33" s="284"/>
      <c r="K33" s="284"/>
      <c r="L33" s="284"/>
      <c r="M33" s="284"/>
      <c r="N33" s="284"/>
      <c r="O33" s="284"/>
      <c r="P33" s="381" t="s">
        <v>551</v>
      </c>
      <c r="Q33" s="285"/>
    </row>
    <row r="34" spans="1:17" s="242" customFormat="1" ht="16.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9"/>
    </row>
    <row r="35" spans="1:17" s="242" customFormat="1" ht="16.5"/>
    <row r="36" spans="1:17" s="242" customFormat="1" ht="16.5"/>
    <row r="37" spans="1:17" s="242" customFormat="1" ht="16.5"/>
    <row r="38" spans="1:17" s="242" customFormat="1" ht="16.5"/>
    <row r="39" spans="1:17" s="242" customFormat="1" ht="16.5"/>
    <row r="40" spans="1:17" s="242" customFormat="1" ht="16.5"/>
    <row r="41" spans="1:17" s="242" customFormat="1" ht="16.5"/>
    <row r="42" spans="1:17" s="242" customFormat="1" ht="16.5"/>
    <row r="43" spans="1:17" s="242" customFormat="1" ht="16.5"/>
    <row r="44" spans="1:17" s="242" customFormat="1" ht="16.5"/>
    <row r="45" spans="1:17" s="242" customFormat="1" ht="16.5"/>
    <row r="46" spans="1:17" s="242" customFormat="1" ht="16.5"/>
    <row r="47" spans="1:17" s="242" customFormat="1" ht="16.5"/>
    <row r="48" spans="1:17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8" customFormat="1"/>
    <row r="175" s="28" customFormat="1"/>
    <row r="176" s="28" customFormat="1"/>
    <row r="177" s="28" customFormat="1"/>
    <row r="178" s="28" customFormat="1"/>
    <row r="179" s="28" customFormat="1"/>
  </sheetData>
  <mergeCells count="16">
    <mergeCell ref="A16:B16"/>
    <mergeCell ref="A17:B17"/>
    <mergeCell ref="A21:B21"/>
    <mergeCell ref="F21:M21"/>
    <mergeCell ref="A13:E14"/>
    <mergeCell ref="F13:M14"/>
    <mergeCell ref="N13:N14"/>
    <mergeCell ref="O13:O14"/>
    <mergeCell ref="Q13:Q14"/>
    <mergeCell ref="A15:E15"/>
    <mergeCell ref="F15:M15"/>
    <mergeCell ref="J8:Q8"/>
    <mergeCell ref="A1:Q1"/>
    <mergeCell ref="A2:Q2"/>
    <mergeCell ref="A3:Q3"/>
    <mergeCell ref="J6:Q6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F0"/>
  </sheetPr>
  <dimension ref="A1:S209"/>
  <sheetViews>
    <sheetView zoomScaleSheetLayoutView="90" workbookViewId="0">
      <selection sqref="A1:Q1"/>
    </sheetView>
  </sheetViews>
  <sheetFormatPr defaultRowHeight="15"/>
  <cols>
    <col min="1" max="1" width="2" customWidth="1"/>
    <col min="2" max="2" width="1.140625" customWidth="1"/>
    <col min="3" max="3" width="2.85546875" customWidth="1"/>
    <col min="4" max="4" width="3.140625" customWidth="1"/>
    <col min="5" max="5" width="2.85546875" customWidth="1"/>
    <col min="6" max="6" width="1.140625" customWidth="1"/>
    <col min="7" max="7" width="23.42578125" customWidth="1"/>
    <col min="8" max="8" width="1.5703125" hidden="1" customWidth="1"/>
    <col min="9" max="9" width="2.85546875" customWidth="1"/>
    <col min="10" max="10" width="4.85546875" customWidth="1"/>
    <col min="11" max="11" width="2.42578125" customWidth="1"/>
    <col min="12" max="12" width="3.5703125" customWidth="1"/>
    <col min="13" max="13" width="4.42578125" customWidth="1"/>
    <col min="14" max="15" width="7.28515625" customWidth="1"/>
    <col min="16" max="16" width="13" customWidth="1"/>
    <col min="17" max="17" width="15.28515625" customWidth="1"/>
    <col min="19" max="19" width="12.140625" bestFit="1" customWidth="1"/>
    <col min="20" max="20" width="10" bestFit="1" customWidth="1"/>
  </cols>
  <sheetData>
    <row r="1" spans="1:17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5"/>
    </row>
    <row r="2" spans="1:17" s="242" customFormat="1" ht="18.75">
      <c r="A2" s="869" t="s">
        <v>292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1"/>
    </row>
    <row r="3" spans="1:17" s="249" customFormat="1" ht="15.7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s="242" customFormat="1" ht="18.75">
      <c r="A4" s="485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7"/>
    </row>
    <row r="5" spans="1:17" s="242" customFormat="1" ht="10.5" customHeight="1">
      <c r="A5" s="283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94"/>
    </row>
    <row r="6" spans="1:17" s="242" customFormat="1" ht="15" customHeight="1">
      <c r="A6" s="283" t="s">
        <v>7</v>
      </c>
      <c r="B6" s="295" t="s">
        <v>10</v>
      </c>
      <c r="C6" s="295"/>
      <c r="D6" s="295"/>
      <c r="E6" s="295"/>
      <c r="F6" s="295"/>
      <c r="G6" s="286"/>
      <c r="H6" s="286" t="s">
        <v>12</v>
      </c>
      <c r="I6" s="286" t="s">
        <v>12</v>
      </c>
      <c r="J6" s="851" t="s">
        <v>494</v>
      </c>
      <c r="K6" s="851"/>
      <c r="L6" s="851"/>
      <c r="M6" s="851"/>
      <c r="N6" s="851"/>
      <c r="O6" s="851"/>
      <c r="P6" s="851"/>
      <c r="Q6" s="852"/>
    </row>
    <row r="7" spans="1:17" s="242" customFormat="1" ht="15" customHeight="1">
      <c r="A7" s="283" t="s">
        <v>8</v>
      </c>
      <c r="B7" s="295" t="s">
        <v>11</v>
      </c>
      <c r="C7" s="295"/>
      <c r="D7" s="295"/>
      <c r="E7" s="295"/>
      <c r="F7" s="295"/>
      <c r="G7" s="286"/>
      <c r="H7" s="286" t="s">
        <v>12</v>
      </c>
      <c r="I7" s="286" t="s">
        <v>12</v>
      </c>
      <c r="J7" s="295" t="s">
        <v>524</v>
      </c>
      <c r="K7" s="295"/>
      <c r="L7" s="295"/>
      <c r="M7" s="295"/>
      <c r="N7" s="295"/>
      <c r="O7" s="295"/>
      <c r="P7" s="295"/>
      <c r="Q7" s="296"/>
    </row>
    <row r="8" spans="1:17" s="242" customFormat="1" ht="15" customHeight="1">
      <c r="A8" s="283" t="s">
        <v>9</v>
      </c>
      <c r="B8" s="295" t="s">
        <v>22</v>
      </c>
      <c r="C8" s="295"/>
      <c r="D8" s="295"/>
      <c r="E8" s="295"/>
      <c r="F8" s="295"/>
      <c r="G8" s="286"/>
      <c r="H8" s="286" t="s">
        <v>12</v>
      </c>
      <c r="I8" s="286" t="s">
        <v>12</v>
      </c>
      <c r="J8" s="888" t="s">
        <v>76</v>
      </c>
      <c r="K8" s="851"/>
      <c r="L8" s="851"/>
      <c r="M8" s="851"/>
      <c r="N8" s="851"/>
      <c r="O8" s="851"/>
      <c r="P8" s="851"/>
      <c r="Q8" s="852"/>
    </row>
    <row r="9" spans="1:17" s="242" customFormat="1" ht="15" customHeight="1">
      <c r="A9" s="297" t="s">
        <v>312</v>
      </c>
      <c r="B9" s="295" t="s">
        <v>216</v>
      </c>
      <c r="C9" s="295"/>
      <c r="D9" s="295"/>
      <c r="E9" s="295"/>
      <c r="F9" s="295"/>
      <c r="G9" s="286"/>
      <c r="H9" s="286"/>
      <c r="I9" s="286" t="s">
        <v>12</v>
      </c>
      <c r="J9" s="469" t="s">
        <v>288</v>
      </c>
      <c r="K9" s="469"/>
      <c r="L9" s="469"/>
      <c r="M9" s="469"/>
      <c r="N9" s="469"/>
      <c r="O9" s="469"/>
      <c r="P9" s="469"/>
      <c r="Q9" s="470"/>
    </row>
    <row r="10" spans="1:17" s="242" customFormat="1" ht="6" customHeight="1">
      <c r="A10" s="297"/>
      <c r="B10" s="295"/>
      <c r="C10" s="295"/>
      <c r="D10" s="295"/>
      <c r="E10" s="295"/>
      <c r="F10" s="295"/>
      <c r="G10" s="286"/>
      <c r="H10" s="286"/>
      <c r="I10" s="286"/>
      <c r="J10" s="469"/>
      <c r="K10" s="469"/>
      <c r="L10" s="469"/>
      <c r="M10" s="469"/>
      <c r="N10" s="469"/>
      <c r="O10" s="469"/>
      <c r="P10" s="469"/>
      <c r="Q10" s="470"/>
    </row>
    <row r="11" spans="1:17" s="243" customFormat="1" ht="12.75">
      <c r="A11" s="394" t="s">
        <v>221</v>
      </c>
      <c r="B11" s="430"/>
      <c r="C11" s="430"/>
      <c r="D11" s="430"/>
      <c r="E11" s="430"/>
      <c r="F11" s="382"/>
      <c r="G11" s="382"/>
      <c r="H11" s="382"/>
      <c r="I11" s="382"/>
      <c r="J11" s="397"/>
      <c r="K11" s="397"/>
      <c r="L11" s="397"/>
      <c r="M11" s="397"/>
      <c r="N11" s="397"/>
      <c r="O11" s="397"/>
      <c r="P11" s="397"/>
      <c r="Q11" s="398"/>
    </row>
    <row r="12" spans="1:17" s="242" customFormat="1" ht="6.7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s="243" customFormat="1" ht="15.75" customHeight="1">
      <c r="A13" s="775" t="s">
        <v>0</v>
      </c>
      <c r="B13" s="776"/>
      <c r="C13" s="776"/>
      <c r="D13" s="776"/>
      <c r="E13" s="777"/>
      <c r="F13" s="775" t="s">
        <v>1</v>
      </c>
      <c r="G13" s="776"/>
      <c r="H13" s="776"/>
      <c r="I13" s="776"/>
      <c r="J13" s="776"/>
      <c r="K13" s="776"/>
      <c r="L13" s="776"/>
      <c r="M13" s="777"/>
      <c r="N13" s="780" t="s">
        <v>2</v>
      </c>
      <c r="O13" s="780" t="s">
        <v>47</v>
      </c>
      <c r="P13" s="479" t="s">
        <v>4</v>
      </c>
      <c r="Q13" s="780" t="s">
        <v>3</v>
      </c>
    </row>
    <row r="14" spans="1:17" s="243" customFormat="1" ht="12.75">
      <c r="A14" s="863"/>
      <c r="B14" s="778"/>
      <c r="C14" s="778"/>
      <c r="D14" s="778"/>
      <c r="E14" s="779"/>
      <c r="F14" s="863"/>
      <c r="G14" s="778"/>
      <c r="H14" s="778"/>
      <c r="I14" s="778"/>
      <c r="J14" s="778"/>
      <c r="K14" s="778"/>
      <c r="L14" s="778"/>
      <c r="M14" s="779"/>
      <c r="N14" s="781"/>
      <c r="O14" s="781"/>
      <c r="P14" s="480" t="s">
        <v>5</v>
      </c>
      <c r="Q14" s="781"/>
    </row>
    <row r="15" spans="1:17" s="237" customFormat="1" ht="14.25" customHeight="1">
      <c r="A15" s="864">
        <v>1</v>
      </c>
      <c r="B15" s="865"/>
      <c r="C15" s="865"/>
      <c r="D15" s="865"/>
      <c r="E15" s="866"/>
      <c r="F15" s="864">
        <v>2</v>
      </c>
      <c r="G15" s="865"/>
      <c r="H15" s="865"/>
      <c r="I15" s="865"/>
      <c r="J15" s="865"/>
      <c r="K15" s="865"/>
      <c r="L15" s="865"/>
      <c r="M15" s="866"/>
      <c r="N15" s="239">
        <v>3</v>
      </c>
      <c r="O15" s="239"/>
      <c r="P15" s="239">
        <v>4</v>
      </c>
      <c r="Q15" s="239">
        <v>5</v>
      </c>
    </row>
    <row r="16" spans="1:17" s="242" customFormat="1" ht="15" customHeight="1">
      <c r="A16" s="879">
        <v>2</v>
      </c>
      <c r="B16" s="880"/>
      <c r="C16" s="492">
        <v>4</v>
      </c>
      <c r="D16" s="492">
        <v>13</v>
      </c>
      <c r="E16" s="492">
        <v>2</v>
      </c>
      <c r="F16" s="432" t="s">
        <v>14</v>
      </c>
      <c r="G16" s="474" t="s">
        <v>29</v>
      </c>
      <c r="H16" s="379"/>
      <c r="I16" s="379"/>
      <c r="J16" s="379"/>
      <c r="K16" s="379"/>
      <c r="L16" s="379"/>
      <c r="M16" s="433"/>
      <c r="N16" s="256"/>
      <c r="O16" s="256"/>
      <c r="P16" s="256"/>
      <c r="Q16" s="308">
        <f>SUM(Q17)+Q22+Q32+Q36+Q40</f>
        <v>18643000</v>
      </c>
    </row>
    <row r="17" spans="1:19" s="242" customFormat="1" ht="15" customHeight="1">
      <c r="A17" s="877"/>
      <c r="B17" s="878"/>
      <c r="C17" s="408"/>
      <c r="D17" s="408"/>
      <c r="E17" s="408"/>
      <c r="F17" s="493"/>
      <c r="G17" s="309" t="s">
        <v>57</v>
      </c>
      <c r="H17" s="309"/>
      <c r="I17" s="415"/>
      <c r="J17" s="415"/>
      <c r="K17" s="415"/>
      <c r="L17" s="415"/>
      <c r="M17" s="494"/>
      <c r="N17" s="408"/>
      <c r="O17" s="408"/>
      <c r="P17" s="417"/>
      <c r="Q17" s="417">
        <f>SUM(Q18:Q20)</f>
        <v>17845000</v>
      </c>
      <c r="S17" s="311"/>
    </row>
    <row r="18" spans="1:19" s="242" customFormat="1" ht="15" customHeight="1">
      <c r="A18" s="499"/>
      <c r="B18" s="500"/>
      <c r="C18" s="420"/>
      <c r="D18" s="420"/>
      <c r="E18" s="420"/>
      <c r="F18" s="493"/>
      <c r="G18" s="309" t="s">
        <v>203</v>
      </c>
      <c r="H18" s="309"/>
      <c r="I18" s="415"/>
      <c r="J18" s="415"/>
      <c r="K18" s="415"/>
      <c r="L18" s="415"/>
      <c r="M18" s="494"/>
      <c r="N18" s="524">
        <v>175.5</v>
      </c>
      <c r="O18" s="491" t="s">
        <v>43</v>
      </c>
      <c r="P18" s="267">
        <v>65000</v>
      </c>
      <c r="Q18" s="417">
        <f>N18*P18</f>
        <v>11407500</v>
      </c>
      <c r="S18" s="311"/>
    </row>
    <row r="19" spans="1:19" s="242" customFormat="1" ht="15" customHeight="1">
      <c r="A19" s="493"/>
      <c r="B19" s="494"/>
      <c r="C19" s="408"/>
      <c r="D19" s="408"/>
      <c r="E19" s="408"/>
      <c r="F19" s="493"/>
      <c r="G19" s="309" t="s">
        <v>58</v>
      </c>
      <c r="H19" s="309"/>
      <c r="I19" s="415"/>
      <c r="J19" s="415"/>
      <c r="K19" s="415"/>
      <c r="L19" s="415"/>
      <c r="M19" s="494"/>
      <c r="N19" s="524">
        <v>67.5</v>
      </c>
      <c r="O19" s="491" t="s">
        <v>43</v>
      </c>
      <c r="P19" s="267">
        <v>85000</v>
      </c>
      <c r="Q19" s="417">
        <f t="shared" ref="Q19:Q20" si="0">N19*P19</f>
        <v>5737500</v>
      </c>
      <c r="S19" s="311"/>
    </row>
    <row r="20" spans="1:19" s="242" customFormat="1" ht="15" customHeight="1">
      <c r="A20" s="499"/>
      <c r="B20" s="500"/>
      <c r="C20" s="420"/>
      <c r="D20" s="420"/>
      <c r="E20" s="420"/>
      <c r="F20" s="499"/>
      <c r="G20" s="325" t="s">
        <v>522</v>
      </c>
      <c r="H20" s="325"/>
      <c r="I20" s="421"/>
      <c r="J20" s="421"/>
      <c r="K20" s="421"/>
      <c r="L20" s="421"/>
      <c r="M20" s="500"/>
      <c r="N20" s="524">
        <v>7</v>
      </c>
      <c r="O20" s="491" t="s">
        <v>43</v>
      </c>
      <c r="P20" s="267">
        <v>100000</v>
      </c>
      <c r="Q20" s="417">
        <f t="shared" si="0"/>
        <v>700000</v>
      </c>
      <c r="S20" s="311"/>
    </row>
    <row r="21" spans="1:19" s="242" customFormat="1" ht="9" customHeight="1">
      <c r="A21" s="499"/>
      <c r="B21" s="500"/>
      <c r="C21" s="420"/>
      <c r="D21" s="420"/>
      <c r="E21" s="420"/>
      <c r="F21" s="499"/>
      <c r="G21" s="325"/>
      <c r="H21" s="325"/>
      <c r="I21" s="421"/>
      <c r="J21" s="421"/>
      <c r="K21" s="421"/>
      <c r="L21" s="421"/>
      <c r="M21" s="500"/>
      <c r="N21" s="327"/>
      <c r="O21" s="327"/>
      <c r="P21" s="332"/>
      <c r="Q21" s="423"/>
      <c r="S21" s="311"/>
    </row>
    <row r="22" spans="1:19" s="242" customFormat="1" ht="15" customHeight="1">
      <c r="A22" s="499"/>
      <c r="B22" s="500"/>
      <c r="C22" s="420"/>
      <c r="D22" s="420"/>
      <c r="E22" s="420"/>
      <c r="F22" s="499"/>
      <c r="G22" s="576" t="s">
        <v>77</v>
      </c>
      <c r="H22" s="325"/>
      <c r="I22" s="421"/>
      <c r="J22" s="421"/>
      <c r="K22" s="421"/>
      <c r="L22" s="421"/>
      <c r="M22" s="500"/>
      <c r="N22" s="420"/>
      <c r="O22" s="420"/>
      <c r="P22" s="423"/>
      <c r="Q22" s="423">
        <f>SUM(Q23:Q30)</f>
        <v>328000</v>
      </c>
      <c r="S22" s="311"/>
    </row>
    <row r="23" spans="1:19" s="242" customFormat="1" ht="15" customHeight="1">
      <c r="A23" s="499"/>
      <c r="B23" s="500"/>
      <c r="C23" s="420"/>
      <c r="D23" s="420"/>
      <c r="E23" s="420"/>
      <c r="F23" s="499"/>
      <c r="G23" s="325" t="s">
        <v>453</v>
      </c>
      <c r="H23" s="325"/>
      <c r="I23" s="421"/>
      <c r="J23" s="421"/>
      <c r="K23" s="421"/>
      <c r="L23" s="421"/>
      <c r="M23" s="500"/>
      <c r="N23" s="420">
        <v>2</v>
      </c>
      <c r="O23" s="420" t="s">
        <v>191</v>
      </c>
      <c r="P23" s="423">
        <v>49000</v>
      </c>
      <c r="Q23" s="423">
        <f>N23*P23</f>
        <v>98000</v>
      </c>
      <c r="S23" s="311"/>
    </row>
    <row r="24" spans="1:19" s="242" customFormat="1" ht="15" customHeight="1">
      <c r="A24" s="499"/>
      <c r="B24" s="500"/>
      <c r="C24" s="420"/>
      <c r="D24" s="420"/>
      <c r="E24" s="420"/>
      <c r="F24" s="499"/>
      <c r="G24" s="325" t="s">
        <v>485</v>
      </c>
      <c r="H24" s="325"/>
      <c r="I24" s="421"/>
      <c r="J24" s="421"/>
      <c r="K24" s="421"/>
      <c r="L24" s="421"/>
      <c r="M24" s="500"/>
      <c r="N24" s="420">
        <v>1</v>
      </c>
      <c r="O24" s="420" t="s">
        <v>53</v>
      </c>
      <c r="P24" s="423">
        <v>22500</v>
      </c>
      <c r="Q24" s="423">
        <f t="shared" ref="Q24:Q30" si="1">N24*P24</f>
        <v>22500</v>
      </c>
      <c r="S24" s="311"/>
    </row>
    <row r="25" spans="1:19" s="242" customFormat="1" ht="15" customHeight="1">
      <c r="A25" s="499"/>
      <c r="B25" s="500"/>
      <c r="C25" s="420"/>
      <c r="D25" s="420"/>
      <c r="E25" s="420"/>
      <c r="F25" s="499"/>
      <c r="G25" s="325" t="s">
        <v>32</v>
      </c>
      <c r="H25" s="325"/>
      <c r="I25" s="421"/>
      <c r="J25" s="421"/>
      <c r="K25" s="421"/>
      <c r="L25" s="421"/>
      <c r="M25" s="500"/>
      <c r="N25" s="420">
        <v>1</v>
      </c>
      <c r="O25" s="420" t="s">
        <v>53</v>
      </c>
      <c r="P25" s="423">
        <v>15000</v>
      </c>
      <c r="Q25" s="423">
        <f t="shared" si="1"/>
        <v>15000</v>
      </c>
      <c r="S25" s="311"/>
    </row>
    <row r="26" spans="1:19" s="242" customFormat="1" ht="15" customHeight="1">
      <c r="A26" s="499"/>
      <c r="B26" s="500"/>
      <c r="C26" s="420"/>
      <c r="D26" s="420"/>
      <c r="E26" s="420"/>
      <c r="F26" s="499"/>
      <c r="G26" s="325" t="s">
        <v>513</v>
      </c>
      <c r="H26" s="325"/>
      <c r="I26" s="421"/>
      <c r="J26" s="421"/>
      <c r="K26" s="421"/>
      <c r="L26" s="421"/>
      <c r="M26" s="500"/>
      <c r="N26" s="420">
        <v>5</v>
      </c>
      <c r="O26" s="420" t="s">
        <v>176</v>
      </c>
      <c r="P26" s="423">
        <v>7500</v>
      </c>
      <c r="Q26" s="423">
        <f t="shared" si="1"/>
        <v>37500</v>
      </c>
      <c r="S26" s="311"/>
    </row>
    <row r="27" spans="1:19" s="242" customFormat="1" ht="15" customHeight="1">
      <c r="A27" s="499"/>
      <c r="B27" s="500"/>
      <c r="C27" s="420"/>
      <c r="D27" s="420"/>
      <c r="E27" s="420"/>
      <c r="F27" s="499"/>
      <c r="G27" s="325" t="s">
        <v>464</v>
      </c>
      <c r="H27" s="325"/>
      <c r="I27" s="421"/>
      <c r="J27" s="421"/>
      <c r="K27" s="421"/>
      <c r="L27" s="421"/>
      <c r="M27" s="500"/>
      <c r="N27" s="420">
        <v>3</v>
      </c>
      <c r="O27" s="420" t="s">
        <v>176</v>
      </c>
      <c r="P27" s="423">
        <v>12500</v>
      </c>
      <c r="Q27" s="423">
        <f t="shared" si="1"/>
        <v>37500</v>
      </c>
      <c r="S27" s="311"/>
    </row>
    <row r="28" spans="1:19" s="242" customFormat="1" ht="15" customHeight="1">
      <c r="A28" s="499"/>
      <c r="B28" s="500"/>
      <c r="C28" s="420"/>
      <c r="D28" s="420"/>
      <c r="E28" s="420"/>
      <c r="F28" s="499"/>
      <c r="G28" s="325" t="s">
        <v>514</v>
      </c>
      <c r="H28" s="325"/>
      <c r="I28" s="421"/>
      <c r="J28" s="421"/>
      <c r="K28" s="421"/>
      <c r="L28" s="421"/>
      <c r="M28" s="500"/>
      <c r="N28" s="420">
        <v>2</v>
      </c>
      <c r="O28" s="420" t="s">
        <v>176</v>
      </c>
      <c r="P28" s="423">
        <v>10000</v>
      </c>
      <c r="Q28" s="423">
        <f t="shared" si="1"/>
        <v>20000</v>
      </c>
      <c r="S28" s="311"/>
    </row>
    <row r="29" spans="1:19" s="242" customFormat="1" ht="15" customHeight="1">
      <c r="A29" s="499"/>
      <c r="B29" s="500"/>
      <c r="C29" s="420"/>
      <c r="D29" s="420"/>
      <c r="E29" s="420"/>
      <c r="F29" s="499"/>
      <c r="G29" s="325" t="s">
        <v>515</v>
      </c>
      <c r="H29" s="325"/>
      <c r="I29" s="421"/>
      <c r="J29" s="421"/>
      <c r="K29" s="421"/>
      <c r="L29" s="421"/>
      <c r="M29" s="500"/>
      <c r="N29" s="420">
        <v>5</v>
      </c>
      <c r="O29" s="420" t="s">
        <v>176</v>
      </c>
      <c r="P29" s="423">
        <v>12000</v>
      </c>
      <c r="Q29" s="423">
        <f t="shared" si="1"/>
        <v>60000</v>
      </c>
      <c r="S29" s="311"/>
    </row>
    <row r="30" spans="1:19" s="242" customFormat="1" ht="15" customHeight="1">
      <c r="A30" s="499"/>
      <c r="B30" s="500"/>
      <c r="C30" s="420"/>
      <c r="D30" s="420"/>
      <c r="E30" s="420"/>
      <c r="F30" s="499"/>
      <c r="G30" s="325" t="s">
        <v>516</v>
      </c>
      <c r="H30" s="325"/>
      <c r="I30" s="421"/>
      <c r="J30" s="421"/>
      <c r="K30" s="421"/>
      <c r="L30" s="421"/>
      <c r="M30" s="500"/>
      <c r="N30" s="420">
        <v>1</v>
      </c>
      <c r="O30" s="420" t="s">
        <v>517</v>
      </c>
      <c r="P30" s="423">
        <v>37500</v>
      </c>
      <c r="Q30" s="423">
        <f t="shared" si="1"/>
        <v>37500</v>
      </c>
      <c r="S30" s="311"/>
    </row>
    <row r="31" spans="1:19" s="242" customFormat="1" ht="8.25" customHeight="1">
      <c r="A31" s="499"/>
      <c r="B31" s="500"/>
      <c r="C31" s="420"/>
      <c r="D31" s="420"/>
      <c r="E31" s="420"/>
      <c r="F31" s="499"/>
      <c r="G31" s="325"/>
      <c r="H31" s="325"/>
      <c r="I31" s="421"/>
      <c r="J31" s="421"/>
      <c r="K31" s="421"/>
      <c r="L31" s="421"/>
      <c r="M31" s="500"/>
      <c r="N31" s="420"/>
      <c r="O31" s="420"/>
      <c r="P31" s="423"/>
      <c r="Q31" s="423"/>
      <c r="S31" s="311"/>
    </row>
    <row r="32" spans="1:19" s="242" customFormat="1" ht="15" customHeight="1">
      <c r="A32" s="499"/>
      <c r="B32" s="500"/>
      <c r="C32" s="420"/>
      <c r="D32" s="420"/>
      <c r="E32" s="420"/>
      <c r="F32" s="499"/>
      <c r="G32" s="325" t="s">
        <v>195</v>
      </c>
      <c r="H32" s="325"/>
      <c r="I32" s="421"/>
      <c r="J32" s="421"/>
      <c r="K32" s="421"/>
      <c r="L32" s="421"/>
      <c r="M32" s="500"/>
      <c r="N32" s="420"/>
      <c r="O32" s="420"/>
      <c r="P32" s="423"/>
      <c r="Q32" s="423">
        <f>SUM(Q33:Q34)</f>
        <v>115000</v>
      </c>
      <c r="S32" s="311"/>
    </row>
    <row r="33" spans="1:19" s="242" customFormat="1" ht="15" customHeight="1">
      <c r="A33" s="499"/>
      <c r="B33" s="500"/>
      <c r="C33" s="420"/>
      <c r="D33" s="420"/>
      <c r="E33" s="420"/>
      <c r="F33" s="499"/>
      <c r="G33" s="325" t="s">
        <v>69</v>
      </c>
      <c r="H33" s="325"/>
      <c r="I33" s="421"/>
      <c r="J33" s="421"/>
      <c r="K33" s="421"/>
      <c r="L33" s="421"/>
      <c r="M33" s="500"/>
      <c r="N33" s="420">
        <v>300</v>
      </c>
      <c r="O33" s="420" t="s">
        <v>176</v>
      </c>
      <c r="P33" s="547">
        <v>300</v>
      </c>
      <c r="Q33" s="423">
        <f>N33*P33</f>
        <v>90000</v>
      </c>
      <c r="S33" s="311"/>
    </row>
    <row r="34" spans="1:19" s="242" customFormat="1" ht="15" customHeight="1">
      <c r="A34" s="499"/>
      <c r="B34" s="500"/>
      <c r="C34" s="420"/>
      <c r="D34" s="420"/>
      <c r="E34" s="420"/>
      <c r="F34" s="499"/>
      <c r="G34" s="325" t="s">
        <v>518</v>
      </c>
      <c r="H34" s="325"/>
      <c r="I34" s="421"/>
      <c r="J34" s="421"/>
      <c r="K34" s="421"/>
      <c r="L34" s="421"/>
      <c r="M34" s="500"/>
      <c r="N34" s="420">
        <v>5</v>
      </c>
      <c r="O34" s="420" t="s">
        <v>296</v>
      </c>
      <c r="P34" s="423">
        <v>5000</v>
      </c>
      <c r="Q34" s="423">
        <f>N34*P34</f>
        <v>25000</v>
      </c>
      <c r="S34" s="311"/>
    </row>
    <row r="35" spans="1:19" s="242" customFormat="1" ht="9" customHeight="1">
      <c r="A35" s="499"/>
      <c r="B35" s="500"/>
      <c r="C35" s="420"/>
      <c r="D35" s="420"/>
      <c r="E35" s="420"/>
      <c r="F35" s="499"/>
      <c r="G35" s="325"/>
      <c r="H35" s="325"/>
      <c r="I35" s="421"/>
      <c r="J35" s="421"/>
      <c r="K35" s="421"/>
      <c r="L35" s="421"/>
      <c r="M35" s="500"/>
      <c r="N35" s="420"/>
      <c r="O35" s="420"/>
      <c r="P35" s="423"/>
      <c r="Q35" s="423"/>
      <c r="S35" s="311"/>
    </row>
    <row r="36" spans="1:19" s="242" customFormat="1" ht="15" customHeight="1">
      <c r="A36" s="499"/>
      <c r="B36" s="500"/>
      <c r="C36" s="420"/>
      <c r="D36" s="420"/>
      <c r="E36" s="420"/>
      <c r="F36" s="499"/>
      <c r="G36" s="325" t="s">
        <v>561</v>
      </c>
      <c r="H36" s="325"/>
      <c r="I36" s="421"/>
      <c r="J36" s="421"/>
      <c r="K36" s="421"/>
      <c r="L36" s="421"/>
      <c r="M36" s="500"/>
      <c r="N36" s="420"/>
      <c r="O36" s="420"/>
      <c r="P36" s="423"/>
      <c r="Q36" s="423">
        <f>SUM(Q37:Q38)</f>
        <v>45000</v>
      </c>
      <c r="S36" s="311"/>
    </row>
    <row r="37" spans="1:19" s="242" customFormat="1" ht="15" customHeight="1">
      <c r="A37" s="499"/>
      <c r="B37" s="500"/>
      <c r="C37" s="420"/>
      <c r="D37" s="420"/>
      <c r="E37" s="420"/>
      <c r="F37" s="499"/>
      <c r="G37" s="325" t="s">
        <v>36</v>
      </c>
      <c r="H37" s="325"/>
      <c r="I37" s="421"/>
      <c r="J37" s="421"/>
      <c r="K37" s="421"/>
      <c r="L37" s="421"/>
      <c r="M37" s="500"/>
      <c r="N37" s="420">
        <v>5</v>
      </c>
      <c r="O37" s="420" t="s">
        <v>297</v>
      </c>
      <c r="P37" s="423">
        <v>6000</v>
      </c>
      <c r="Q37" s="423">
        <f>N37*P37</f>
        <v>30000</v>
      </c>
      <c r="S37" s="311"/>
    </row>
    <row r="38" spans="1:19" s="242" customFormat="1" ht="15" customHeight="1">
      <c r="A38" s="499"/>
      <c r="B38" s="500"/>
      <c r="C38" s="420"/>
      <c r="D38" s="420"/>
      <c r="E38" s="420"/>
      <c r="F38" s="499"/>
      <c r="G38" s="325" t="s">
        <v>37</v>
      </c>
      <c r="H38" s="325"/>
      <c r="I38" s="421"/>
      <c r="J38" s="421"/>
      <c r="K38" s="421"/>
      <c r="L38" s="421"/>
      <c r="M38" s="500"/>
      <c r="N38" s="420">
        <v>5</v>
      </c>
      <c r="O38" s="420" t="s">
        <v>297</v>
      </c>
      <c r="P38" s="423">
        <v>3000</v>
      </c>
      <c r="Q38" s="423">
        <f>N38*P38</f>
        <v>15000</v>
      </c>
      <c r="S38" s="311"/>
    </row>
    <row r="39" spans="1:19" s="242" customFormat="1" ht="9.75" customHeight="1">
      <c r="A39" s="499"/>
      <c r="B39" s="500"/>
      <c r="C39" s="420"/>
      <c r="D39" s="420"/>
      <c r="E39" s="420"/>
      <c r="F39" s="499"/>
      <c r="G39" s="325"/>
      <c r="H39" s="325"/>
      <c r="I39" s="421"/>
      <c r="J39" s="421"/>
      <c r="K39" s="421"/>
      <c r="L39" s="421"/>
      <c r="M39" s="500"/>
      <c r="N39" s="420"/>
      <c r="O39" s="420"/>
      <c r="P39" s="423"/>
      <c r="Q39" s="423"/>
      <c r="S39" s="311"/>
    </row>
    <row r="40" spans="1:19" s="242" customFormat="1" ht="15" customHeight="1">
      <c r="A40" s="499"/>
      <c r="B40" s="500"/>
      <c r="C40" s="420"/>
      <c r="D40" s="420"/>
      <c r="E40" s="420"/>
      <c r="F40" s="499"/>
      <c r="G40" s="325" t="s">
        <v>519</v>
      </c>
      <c r="H40" s="325"/>
      <c r="I40" s="421"/>
      <c r="J40" s="421"/>
      <c r="K40" s="421"/>
      <c r="L40" s="421"/>
      <c r="M40" s="500"/>
      <c r="N40" s="420"/>
      <c r="O40" s="420"/>
      <c r="P40" s="423"/>
      <c r="Q40" s="423">
        <f>SUM(Q41:Q43)</f>
        <v>310000</v>
      </c>
      <c r="S40" s="311"/>
    </row>
    <row r="41" spans="1:19" s="242" customFormat="1" ht="15" customHeight="1">
      <c r="A41" s="499"/>
      <c r="B41" s="500"/>
      <c r="C41" s="420"/>
      <c r="D41" s="420"/>
      <c r="E41" s="420"/>
      <c r="F41" s="499"/>
      <c r="G41" s="325" t="s">
        <v>520</v>
      </c>
      <c r="H41" s="325"/>
      <c r="I41" s="421"/>
      <c r="J41" s="421"/>
      <c r="K41" s="421"/>
      <c r="L41" s="421"/>
      <c r="M41" s="500"/>
      <c r="N41" s="420">
        <v>1</v>
      </c>
      <c r="O41" s="420" t="s">
        <v>212</v>
      </c>
      <c r="P41" s="423">
        <v>60000</v>
      </c>
      <c r="Q41" s="423">
        <f>N41*P41</f>
        <v>60000</v>
      </c>
      <c r="S41" s="311"/>
    </row>
    <row r="42" spans="1:19" s="242" customFormat="1" ht="15" customHeight="1">
      <c r="A42" s="499"/>
      <c r="B42" s="500"/>
      <c r="C42" s="420"/>
      <c r="D42" s="420"/>
      <c r="E42" s="420"/>
      <c r="F42" s="499"/>
      <c r="G42" s="325" t="s">
        <v>543</v>
      </c>
      <c r="H42" s="325"/>
      <c r="I42" s="421">
        <v>1</v>
      </c>
      <c r="J42" s="421" t="s">
        <v>17</v>
      </c>
      <c r="K42" s="421" t="s">
        <v>20</v>
      </c>
      <c r="L42" s="421">
        <v>3</v>
      </c>
      <c r="M42" s="500" t="s">
        <v>212</v>
      </c>
      <c r="N42" s="420">
        <f>I42*L42</f>
        <v>3</v>
      </c>
      <c r="O42" s="420" t="s">
        <v>43</v>
      </c>
      <c r="P42" s="423">
        <v>50000</v>
      </c>
      <c r="Q42" s="423">
        <f t="shared" ref="Q42:Q43" si="2">N42*P42</f>
        <v>150000</v>
      </c>
      <c r="S42" s="311"/>
    </row>
    <row r="43" spans="1:19" s="242" customFormat="1" ht="15" customHeight="1">
      <c r="A43" s="499"/>
      <c r="B43" s="500"/>
      <c r="C43" s="420"/>
      <c r="D43" s="420"/>
      <c r="E43" s="420"/>
      <c r="F43" s="499"/>
      <c r="G43" s="325" t="s">
        <v>521</v>
      </c>
      <c r="H43" s="325"/>
      <c r="I43" s="421"/>
      <c r="J43" s="421"/>
      <c r="K43" s="421"/>
      <c r="L43" s="421"/>
      <c r="M43" s="500"/>
      <c r="N43" s="420">
        <v>1</v>
      </c>
      <c r="O43" s="420" t="s">
        <v>212</v>
      </c>
      <c r="P43" s="423">
        <v>100000</v>
      </c>
      <c r="Q43" s="423">
        <f t="shared" si="2"/>
        <v>100000</v>
      </c>
      <c r="S43" s="311"/>
    </row>
    <row r="44" spans="1:19" s="242" customFormat="1" ht="15" customHeight="1">
      <c r="A44" s="499"/>
      <c r="B44" s="500"/>
      <c r="C44" s="420"/>
      <c r="D44" s="420"/>
      <c r="E44" s="420"/>
      <c r="F44" s="499"/>
      <c r="G44" s="325"/>
      <c r="H44" s="325"/>
      <c r="I44" s="421"/>
      <c r="J44" s="421"/>
      <c r="K44" s="421"/>
      <c r="L44" s="421"/>
      <c r="M44" s="500"/>
      <c r="N44" s="420"/>
      <c r="O44" s="420"/>
      <c r="P44" s="423"/>
      <c r="Q44" s="423"/>
      <c r="S44" s="311"/>
    </row>
    <row r="45" spans="1:19" s="242" customFormat="1" ht="15" customHeight="1">
      <c r="A45" s="875">
        <v>2</v>
      </c>
      <c r="B45" s="875"/>
      <c r="C45" s="491">
        <v>4</v>
      </c>
      <c r="D45" s="491">
        <v>13</v>
      </c>
      <c r="E45" s="491">
        <v>3</v>
      </c>
      <c r="F45" s="447" t="s">
        <v>14</v>
      </c>
      <c r="G45" s="310" t="s">
        <v>523</v>
      </c>
      <c r="H45" s="260"/>
      <c r="I45" s="265"/>
      <c r="J45" s="265"/>
      <c r="K45" s="265"/>
      <c r="L45" s="265"/>
      <c r="M45" s="490"/>
      <c r="N45" s="491"/>
      <c r="O45" s="491"/>
      <c r="P45" s="267"/>
      <c r="Q45" s="320">
        <f>SUM(Q46:Q50)</f>
        <v>49455000</v>
      </c>
      <c r="S45" s="311"/>
    </row>
    <row r="46" spans="1:19" s="242" customFormat="1" ht="15" customHeight="1">
      <c r="A46" s="875"/>
      <c r="B46" s="875"/>
      <c r="C46" s="491"/>
      <c r="D46" s="491"/>
      <c r="E46" s="491"/>
      <c r="F46" s="489"/>
      <c r="G46" s="260" t="s">
        <v>409</v>
      </c>
      <c r="H46" s="260"/>
      <c r="I46" s="260"/>
      <c r="J46" s="260"/>
      <c r="K46" s="260"/>
      <c r="L46" s="260"/>
      <c r="M46" s="262"/>
      <c r="N46" s="317">
        <v>750</v>
      </c>
      <c r="O46" s="491" t="s">
        <v>413</v>
      </c>
      <c r="P46" s="267">
        <v>63800</v>
      </c>
      <c r="Q46" s="267">
        <f>N46*P46</f>
        <v>47850000</v>
      </c>
      <c r="S46" s="311"/>
    </row>
    <row r="47" spans="1:19" s="242" customFormat="1" ht="15" customHeight="1">
      <c r="A47" s="875"/>
      <c r="B47" s="875"/>
      <c r="C47" s="491"/>
      <c r="D47" s="491"/>
      <c r="E47" s="491"/>
      <c r="F47" s="489"/>
      <c r="G47" s="260" t="s">
        <v>410</v>
      </c>
      <c r="H47" s="260"/>
      <c r="I47" s="260"/>
      <c r="J47" s="260"/>
      <c r="K47" s="260"/>
      <c r="L47" s="260"/>
      <c r="M47" s="262"/>
      <c r="N47" s="317">
        <v>5</v>
      </c>
      <c r="O47" s="491" t="s">
        <v>414</v>
      </c>
      <c r="P47" s="267">
        <v>35000</v>
      </c>
      <c r="Q47" s="267">
        <f>N47*P47</f>
        <v>175000</v>
      </c>
      <c r="S47" s="311">
        <f>Q45+Q17</f>
        <v>67300000</v>
      </c>
    </row>
    <row r="48" spans="1:19" s="242" customFormat="1" ht="15" customHeight="1">
      <c r="A48" s="875"/>
      <c r="B48" s="875"/>
      <c r="C48" s="491"/>
      <c r="D48" s="491"/>
      <c r="E48" s="491"/>
      <c r="F48" s="489"/>
      <c r="G48" s="260" t="s">
        <v>411</v>
      </c>
      <c r="H48" s="260"/>
      <c r="I48" s="260"/>
      <c r="J48" s="260"/>
      <c r="K48" s="260"/>
      <c r="L48" s="260"/>
      <c r="M48" s="262"/>
      <c r="N48" s="317">
        <v>10</v>
      </c>
      <c r="O48" s="491" t="s">
        <v>63</v>
      </c>
      <c r="P48" s="267">
        <v>20000</v>
      </c>
      <c r="Q48" s="267">
        <f t="shared" ref="Q48" si="3">N48*P48</f>
        <v>200000</v>
      </c>
      <c r="S48" s="311"/>
    </row>
    <row r="49" spans="1:19" s="242" customFormat="1" ht="15" customHeight="1">
      <c r="A49" s="875"/>
      <c r="B49" s="875"/>
      <c r="C49" s="491"/>
      <c r="D49" s="491"/>
      <c r="E49" s="491"/>
      <c r="F49" s="489"/>
      <c r="G49" s="260" t="s">
        <v>61</v>
      </c>
      <c r="H49" s="260"/>
      <c r="I49" s="260"/>
      <c r="J49" s="260"/>
      <c r="K49" s="260"/>
      <c r="L49" s="260"/>
      <c r="M49" s="262"/>
      <c r="N49" s="317">
        <v>4</v>
      </c>
      <c r="O49" s="491" t="s">
        <v>182</v>
      </c>
      <c r="P49" s="267">
        <v>195000</v>
      </c>
      <c r="Q49" s="267">
        <f>N49*P49</f>
        <v>780000</v>
      </c>
      <c r="S49" s="311"/>
    </row>
    <row r="50" spans="1:19" s="242" customFormat="1" ht="15" customHeight="1">
      <c r="A50" s="875"/>
      <c r="B50" s="875"/>
      <c r="C50" s="491"/>
      <c r="D50" s="491"/>
      <c r="E50" s="491"/>
      <c r="F50" s="489"/>
      <c r="G50" s="260" t="s">
        <v>412</v>
      </c>
      <c r="H50" s="260"/>
      <c r="I50" s="260"/>
      <c r="J50" s="260"/>
      <c r="K50" s="260"/>
      <c r="L50" s="260"/>
      <c r="M50" s="262"/>
      <c r="N50" s="317">
        <v>3</v>
      </c>
      <c r="O50" s="491" t="s">
        <v>55</v>
      </c>
      <c r="P50" s="267">
        <v>150000</v>
      </c>
      <c r="Q50" s="267">
        <f>N50*P50</f>
        <v>450000</v>
      </c>
    </row>
    <row r="51" spans="1:19" s="242" customFormat="1" ht="15" customHeight="1">
      <c r="A51" s="334"/>
      <c r="B51" s="339"/>
      <c r="C51" s="335"/>
      <c r="D51" s="335"/>
      <c r="E51" s="335"/>
      <c r="F51" s="334"/>
      <c r="G51" s="337"/>
      <c r="H51" s="337"/>
      <c r="I51" s="337"/>
      <c r="J51" s="337"/>
      <c r="K51" s="337"/>
      <c r="L51" s="337"/>
      <c r="M51" s="390"/>
      <c r="N51" s="577"/>
      <c r="O51" s="335"/>
      <c r="P51" s="340"/>
      <c r="Q51" s="340"/>
    </row>
    <row r="52" spans="1:19" s="242" customFormat="1" ht="15" customHeight="1">
      <c r="A52" s="768"/>
      <c r="B52" s="883"/>
      <c r="C52" s="426"/>
      <c r="D52" s="426"/>
      <c r="E52" s="426"/>
      <c r="F52" s="760" t="s">
        <v>163</v>
      </c>
      <c r="G52" s="761"/>
      <c r="H52" s="761"/>
      <c r="I52" s="761"/>
      <c r="J52" s="761"/>
      <c r="K52" s="761"/>
      <c r="L52" s="761"/>
      <c r="M52" s="764"/>
      <c r="N52" s="442"/>
      <c r="O52" s="442"/>
      <c r="P52" s="442"/>
      <c r="Q52" s="429">
        <f>Q16+Q45</f>
        <v>68098000</v>
      </c>
    </row>
    <row r="53" spans="1:19" s="242" customFormat="1" ht="15.75" customHeight="1">
      <c r="A53" s="351"/>
      <c r="B53" s="286"/>
      <c r="C53" s="286"/>
      <c r="D53" s="286"/>
      <c r="E53" s="286"/>
      <c r="F53" s="268"/>
      <c r="G53" s="268"/>
      <c r="H53" s="268"/>
      <c r="I53" s="268"/>
      <c r="J53" s="268"/>
      <c r="K53" s="268"/>
      <c r="L53" s="268"/>
      <c r="M53" s="268"/>
      <c r="N53" s="284"/>
      <c r="O53" s="284"/>
      <c r="P53" s="284"/>
      <c r="Q53" s="353"/>
    </row>
    <row r="54" spans="1:19" s="242" customFormat="1" ht="15.75" customHeight="1">
      <c r="A54" s="351"/>
      <c r="B54" s="286"/>
      <c r="C54" s="286"/>
      <c r="D54" s="286"/>
      <c r="E54" s="286"/>
      <c r="F54" s="268"/>
      <c r="G54" s="268"/>
      <c r="H54" s="268"/>
      <c r="I54" s="268"/>
      <c r="J54" s="268"/>
      <c r="K54" s="268"/>
      <c r="L54" s="268"/>
      <c r="M54" s="268"/>
      <c r="N54" s="284"/>
      <c r="O54" s="284"/>
      <c r="P54" s="284"/>
      <c r="Q54" s="353"/>
    </row>
    <row r="55" spans="1:19" s="242" customFormat="1" ht="16.5">
      <c r="A55" s="283"/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 t="s">
        <v>553</v>
      </c>
      <c r="Q55" s="285"/>
    </row>
    <row r="56" spans="1:19" s="242" customFormat="1" ht="16.5">
      <c r="A56" s="283"/>
      <c r="B56" s="284"/>
      <c r="C56" s="284"/>
      <c r="D56" s="284"/>
      <c r="E56" s="284"/>
      <c r="F56" s="284"/>
      <c r="G56" s="286" t="s">
        <v>168</v>
      </c>
      <c r="H56" s="284"/>
      <c r="I56" s="284"/>
      <c r="J56" s="284"/>
      <c r="K56" s="284"/>
      <c r="L56" s="284"/>
      <c r="M56" s="284"/>
      <c r="N56" s="284"/>
      <c r="O56" s="284"/>
      <c r="P56" s="469" t="s">
        <v>193</v>
      </c>
      <c r="Q56" s="285"/>
    </row>
    <row r="57" spans="1:19" s="242" customFormat="1" ht="16.5">
      <c r="A57" s="283"/>
      <c r="B57" s="284"/>
      <c r="C57" s="284"/>
      <c r="D57" s="284"/>
      <c r="E57" s="284"/>
      <c r="F57" s="284"/>
      <c r="G57" s="286" t="s">
        <v>303</v>
      </c>
      <c r="H57" s="284"/>
      <c r="I57" s="284"/>
      <c r="J57" s="284"/>
      <c r="K57" s="284"/>
      <c r="L57" s="284"/>
      <c r="M57" s="284"/>
      <c r="N57" s="284"/>
      <c r="O57" s="284"/>
      <c r="P57" s="284"/>
      <c r="Q57" s="285"/>
    </row>
    <row r="58" spans="1:19" s="242" customFormat="1" ht="16.5">
      <c r="A58" s="283"/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5"/>
    </row>
    <row r="59" spans="1:19" s="242" customFormat="1" ht="16.5">
      <c r="A59" s="283"/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5"/>
    </row>
    <row r="60" spans="1:19" s="242" customFormat="1" ht="16.5">
      <c r="A60" s="283"/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5"/>
    </row>
    <row r="61" spans="1:19" s="242" customFormat="1" ht="16.5">
      <c r="A61" s="283"/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5"/>
    </row>
    <row r="62" spans="1:19" s="242" customFormat="1" ht="16.5">
      <c r="A62" s="283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5"/>
    </row>
    <row r="63" spans="1:19" s="242" customFormat="1" ht="16.5">
      <c r="A63" s="283"/>
      <c r="B63" s="284"/>
      <c r="C63" s="284"/>
      <c r="D63" s="284"/>
      <c r="E63" s="284"/>
      <c r="F63" s="284"/>
      <c r="G63" s="303" t="s">
        <v>304</v>
      </c>
      <c r="H63" s="284"/>
      <c r="I63" s="284"/>
      <c r="J63" s="284"/>
      <c r="K63" s="284"/>
      <c r="L63" s="284"/>
      <c r="M63" s="284"/>
      <c r="N63" s="284"/>
      <c r="O63" s="284"/>
      <c r="P63" s="381" t="s">
        <v>305</v>
      </c>
      <c r="Q63" s="285"/>
    </row>
    <row r="64" spans="1:19" s="242" customFormat="1" ht="16.5">
      <c r="A64" s="287"/>
      <c r="B64" s="288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9"/>
    </row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  <row r="193" s="242" customFormat="1" ht="16.5"/>
    <row r="194" s="242" customFormat="1" ht="16.5"/>
    <row r="195" s="242" customFormat="1" ht="16.5"/>
    <row r="196" s="242" customFormat="1" ht="16.5"/>
    <row r="197" s="242" customFormat="1" ht="16.5"/>
    <row r="198" s="242" customFormat="1" ht="16.5"/>
    <row r="199" s="242" customFormat="1" ht="16.5"/>
    <row r="200" s="242" customFormat="1" ht="16.5"/>
    <row r="201" s="242" customFormat="1" ht="16.5"/>
    <row r="202" s="242" customFormat="1" ht="16.5"/>
    <row r="203" s="242" customFormat="1" ht="16.5"/>
    <row r="204" s="242" customFormat="1" ht="16.5"/>
    <row r="205" s="242" customFormat="1" ht="16.5"/>
    <row r="206" s="28" customFormat="1"/>
    <row r="207" s="28" customFormat="1"/>
    <row r="208" s="28" customFormat="1"/>
    <row r="209" s="28" customFormat="1"/>
  </sheetData>
  <mergeCells count="22">
    <mergeCell ref="A15:E15"/>
    <mergeCell ref="F15:M15"/>
    <mergeCell ref="A16:B16"/>
    <mergeCell ref="A17:B17"/>
    <mergeCell ref="A52:B52"/>
    <mergeCell ref="F52:M52"/>
    <mergeCell ref="A45:B45"/>
    <mergeCell ref="A46:B46"/>
    <mergeCell ref="A47:B47"/>
    <mergeCell ref="A48:B48"/>
    <mergeCell ref="A49:B49"/>
    <mergeCell ref="A50:B50"/>
    <mergeCell ref="A1:Q1"/>
    <mergeCell ref="A2:Q2"/>
    <mergeCell ref="A3:Q3"/>
    <mergeCell ref="J6:Q6"/>
    <mergeCell ref="J8:Q8"/>
    <mergeCell ref="A13:E14"/>
    <mergeCell ref="F13:M14"/>
    <mergeCell ref="N13:N14"/>
    <mergeCell ref="O13:O14"/>
    <mergeCell ref="Q13:Q14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1"/>
  </sheetPr>
  <dimension ref="A1:S185"/>
  <sheetViews>
    <sheetView view="pageBreakPreview" zoomScale="90" zoomScaleSheetLayoutView="90" workbookViewId="0">
      <selection sqref="A1:Q1"/>
    </sheetView>
  </sheetViews>
  <sheetFormatPr defaultRowHeight="15"/>
  <cols>
    <col min="1" max="1" width="2" customWidth="1"/>
    <col min="2" max="2" width="1.140625" customWidth="1"/>
    <col min="3" max="5" width="2.85546875" customWidth="1"/>
    <col min="6" max="6" width="1.140625" customWidth="1"/>
    <col min="7" max="7" width="21.42578125" customWidth="1"/>
    <col min="8" max="8" width="1.5703125" hidden="1" customWidth="1"/>
    <col min="9" max="9" width="2.85546875" customWidth="1"/>
    <col min="10" max="10" width="4.85546875" customWidth="1"/>
    <col min="11" max="11" width="2.42578125" customWidth="1"/>
    <col min="12" max="12" width="3.5703125" customWidth="1"/>
    <col min="13" max="13" width="4.42578125" customWidth="1"/>
    <col min="14" max="14" width="8.28515625" customWidth="1"/>
    <col min="15" max="15" width="8.42578125" customWidth="1"/>
    <col min="16" max="16" width="15.85546875" customWidth="1"/>
    <col min="17" max="17" width="17.5703125" customWidth="1"/>
    <col min="19" max="19" width="10.5703125" bestFit="1" customWidth="1"/>
    <col min="20" max="20" width="10" bestFit="1" customWidth="1"/>
  </cols>
  <sheetData>
    <row r="1" spans="1:17" s="28" customFormat="1" ht="18">
      <c r="A1" s="844" t="s">
        <v>6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  <c r="P1" s="844"/>
      <c r="Q1" s="844"/>
    </row>
    <row r="2" spans="1:17" s="28" customFormat="1" ht="18">
      <c r="A2" s="844" t="s">
        <v>292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</row>
    <row r="3" spans="1:17" s="28" customFormat="1" ht="18">
      <c r="A3" s="844" t="s">
        <v>211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</row>
    <row r="4" spans="1:17" s="28" customFormat="1" ht="18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s="28" customFormat="1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s="33" customFormat="1" ht="15" customHeight="1">
      <c r="A6" s="33" t="s">
        <v>7</v>
      </c>
      <c r="B6" s="94" t="s">
        <v>10</v>
      </c>
      <c r="C6" s="94"/>
      <c r="D6" s="94"/>
      <c r="E6" s="94"/>
      <c r="F6" s="94"/>
      <c r="G6" s="95"/>
      <c r="H6" s="95" t="s">
        <v>12</v>
      </c>
      <c r="I6" s="95" t="s">
        <v>12</v>
      </c>
      <c r="J6" s="818" t="s">
        <v>190</v>
      </c>
      <c r="K6" s="818"/>
      <c r="L6" s="818"/>
      <c r="M6" s="818"/>
      <c r="N6" s="818"/>
      <c r="O6" s="818"/>
      <c r="P6" s="818"/>
      <c r="Q6" s="818"/>
    </row>
    <row r="7" spans="1:17" s="33" customFormat="1" ht="15" customHeight="1">
      <c r="A7" s="33" t="s">
        <v>8</v>
      </c>
      <c r="B7" s="94" t="s">
        <v>11</v>
      </c>
      <c r="C7" s="94"/>
      <c r="D7" s="94"/>
      <c r="E7" s="94"/>
      <c r="F7" s="94"/>
      <c r="G7" s="95"/>
      <c r="H7" s="95" t="s">
        <v>12</v>
      </c>
      <c r="I7" s="95" t="s">
        <v>12</v>
      </c>
      <c r="J7" s="818" t="s">
        <v>265</v>
      </c>
      <c r="K7" s="818"/>
      <c r="L7" s="818"/>
      <c r="M7" s="818"/>
      <c r="N7" s="818"/>
      <c r="O7" s="818"/>
      <c r="P7" s="818"/>
      <c r="Q7" s="818"/>
    </row>
    <row r="8" spans="1:17" s="33" customFormat="1" ht="15" customHeight="1">
      <c r="A8" s="33" t="s">
        <v>9</v>
      </c>
      <c r="B8" s="94" t="s">
        <v>22</v>
      </c>
      <c r="C8" s="94"/>
      <c r="D8" s="94"/>
      <c r="E8" s="94"/>
      <c r="F8" s="94"/>
      <c r="G8" s="95"/>
      <c r="H8" s="95" t="s">
        <v>12</v>
      </c>
      <c r="I8" s="95" t="s">
        <v>12</v>
      </c>
      <c r="J8" s="818" t="s">
        <v>76</v>
      </c>
      <c r="K8" s="818"/>
      <c r="L8" s="818"/>
      <c r="M8" s="818"/>
      <c r="N8" s="818"/>
      <c r="O8" s="818"/>
      <c r="P8" s="818"/>
      <c r="Q8" s="818"/>
    </row>
    <row r="9" spans="1:17" s="33" customFormat="1" ht="15" customHeight="1">
      <c r="A9" s="96" t="s">
        <v>312</v>
      </c>
      <c r="B9" s="94" t="s">
        <v>216</v>
      </c>
      <c r="C9" s="94"/>
      <c r="D9" s="94"/>
      <c r="E9" s="94"/>
      <c r="F9" s="94"/>
      <c r="G9" s="95"/>
      <c r="H9" s="95"/>
      <c r="I9" s="95" t="s">
        <v>12</v>
      </c>
      <c r="J9" s="97" t="s">
        <v>220</v>
      </c>
      <c r="K9" s="97"/>
      <c r="L9" s="97"/>
      <c r="M9" s="97"/>
      <c r="N9" s="97"/>
      <c r="O9" s="97"/>
      <c r="P9" s="97"/>
      <c r="Q9" s="97"/>
    </row>
    <row r="10" spans="1:17" s="33" customFormat="1" ht="6" customHeight="1">
      <c r="A10" s="96"/>
      <c r="B10" s="94"/>
      <c r="C10" s="94"/>
      <c r="D10" s="94"/>
      <c r="E10" s="94"/>
      <c r="F10" s="94"/>
      <c r="G10" s="95"/>
      <c r="H10" s="95"/>
      <c r="I10" s="95"/>
      <c r="J10" s="97"/>
      <c r="K10" s="97"/>
      <c r="L10" s="97"/>
      <c r="M10" s="97"/>
      <c r="N10" s="97"/>
      <c r="O10" s="97"/>
      <c r="P10" s="97"/>
      <c r="Q10" s="97"/>
    </row>
    <row r="11" spans="1:17" s="33" customFormat="1" ht="12.75">
      <c r="A11" s="98" t="s">
        <v>221</v>
      </c>
      <c r="B11" s="94"/>
      <c r="C11" s="94"/>
      <c r="D11" s="94"/>
      <c r="E11" s="94"/>
      <c r="F11" s="95"/>
      <c r="G11" s="95"/>
      <c r="H11" s="95"/>
      <c r="I11" s="95"/>
      <c r="J11" s="97"/>
      <c r="K11" s="97"/>
      <c r="L11" s="97"/>
      <c r="M11" s="97"/>
      <c r="N11" s="97"/>
      <c r="O11" s="97"/>
      <c r="P11" s="97"/>
      <c r="Q11" s="97"/>
    </row>
    <row r="12" spans="1:17" s="33" customFormat="1" ht="6.75" customHeight="1"/>
    <row r="13" spans="1:17" s="33" customFormat="1" ht="15.75" customHeight="1">
      <c r="A13" s="819" t="s">
        <v>0</v>
      </c>
      <c r="B13" s="820"/>
      <c r="C13" s="820"/>
      <c r="D13" s="820"/>
      <c r="E13" s="821"/>
      <c r="F13" s="819" t="s">
        <v>1</v>
      </c>
      <c r="G13" s="820"/>
      <c r="H13" s="820"/>
      <c r="I13" s="820"/>
      <c r="J13" s="820"/>
      <c r="K13" s="820"/>
      <c r="L13" s="820"/>
      <c r="M13" s="821"/>
      <c r="N13" s="825" t="s">
        <v>2</v>
      </c>
      <c r="O13" s="825" t="s">
        <v>47</v>
      </c>
      <c r="P13" s="81" t="s">
        <v>4</v>
      </c>
      <c r="Q13" s="825" t="s">
        <v>3</v>
      </c>
    </row>
    <row r="14" spans="1:17" s="33" customFormat="1" ht="12.75">
      <c r="A14" s="822"/>
      <c r="B14" s="823"/>
      <c r="C14" s="823"/>
      <c r="D14" s="823"/>
      <c r="E14" s="824"/>
      <c r="F14" s="822"/>
      <c r="G14" s="823"/>
      <c r="H14" s="823"/>
      <c r="I14" s="823"/>
      <c r="J14" s="823"/>
      <c r="K14" s="823"/>
      <c r="L14" s="823"/>
      <c r="M14" s="824"/>
      <c r="N14" s="826"/>
      <c r="O14" s="826"/>
      <c r="P14" s="82" t="s">
        <v>5</v>
      </c>
      <c r="Q14" s="826"/>
    </row>
    <row r="15" spans="1:17" s="33" customFormat="1" ht="15.75" customHeight="1">
      <c r="A15" s="827">
        <v>1</v>
      </c>
      <c r="B15" s="828"/>
      <c r="C15" s="828"/>
      <c r="D15" s="828"/>
      <c r="E15" s="829"/>
      <c r="F15" s="827">
        <v>2</v>
      </c>
      <c r="G15" s="828"/>
      <c r="H15" s="828"/>
      <c r="I15" s="828"/>
      <c r="J15" s="828"/>
      <c r="K15" s="828"/>
      <c r="L15" s="828"/>
      <c r="M15" s="829"/>
      <c r="N15" s="46">
        <v>3</v>
      </c>
      <c r="O15" s="46"/>
      <c r="P15" s="46">
        <v>4</v>
      </c>
      <c r="Q15" s="46">
        <v>5</v>
      </c>
    </row>
    <row r="16" spans="1:17" s="33" customFormat="1" ht="15" customHeight="1">
      <c r="A16" s="842">
        <v>2</v>
      </c>
      <c r="B16" s="843"/>
      <c r="C16" s="100">
        <v>4</v>
      </c>
      <c r="D16" s="100">
        <v>9</v>
      </c>
      <c r="E16" s="100">
        <v>2</v>
      </c>
      <c r="F16" s="56" t="s">
        <v>14</v>
      </c>
      <c r="G16" s="83" t="s">
        <v>48</v>
      </c>
      <c r="H16" s="57"/>
      <c r="I16" s="57"/>
      <c r="J16" s="57"/>
      <c r="K16" s="57"/>
      <c r="L16" s="57"/>
      <c r="M16" s="58"/>
      <c r="N16" s="59"/>
      <c r="O16" s="59"/>
      <c r="P16" s="59"/>
      <c r="Q16" s="60">
        <f>SUM(Q17)+Q20</f>
        <v>8000000</v>
      </c>
    </row>
    <row r="17" spans="1:19" s="33" customFormat="1" ht="15" customHeight="1">
      <c r="A17" s="834"/>
      <c r="B17" s="835"/>
      <c r="C17" s="84"/>
      <c r="D17" s="84"/>
      <c r="E17" s="84"/>
      <c r="F17" s="61"/>
      <c r="G17" s="62" t="s">
        <v>189</v>
      </c>
      <c r="H17" s="63"/>
      <c r="I17" s="64"/>
      <c r="J17" s="64"/>
      <c r="K17" s="64"/>
      <c r="L17" s="64"/>
      <c r="M17" s="65"/>
      <c r="N17" s="84"/>
      <c r="O17" s="84"/>
      <c r="P17" s="66"/>
      <c r="Q17" s="67">
        <f>SUM(Q18)</f>
        <v>6000000</v>
      </c>
      <c r="S17" s="54"/>
    </row>
    <row r="18" spans="1:19" s="33" customFormat="1" ht="15" customHeight="1">
      <c r="A18" s="834"/>
      <c r="B18" s="835"/>
      <c r="C18" s="84"/>
      <c r="D18" s="84"/>
      <c r="E18" s="84"/>
      <c r="F18" s="61"/>
      <c r="G18" s="63" t="s">
        <v>266</v>
      </c>
      <c r="H18" s="63"/>
      <c r="I18" s="64">
        <v>2</v>
      </c>
      <c r="J18" s="64" t="s">
        <v>17</v>
      </c>
      <c r="K18" s="64" t="s">
        <v>20</v>
      </c>
      <c r="L18" s="64">
        <v>12</v>
      </c>
      <c r="M18" s="65" t="s">
        <v>21</v>
      </c>
      <c r="N18" s="84">
        <f>I18*L18</f>
        <v>24</v>
      </c>
      <c r="O18" s="84" t="s">
        <v>43</v>
      </c>
      <c r="P18" s="66">
        <v>250000</v>
      </c>
      <c r="Q18" s="66">
        <f>N18*P18</f>
        <v>6000000</v>
      </c>
      <c r="S18" s="54"/>
    </row>
    <row r="19" spans="1:19" s="33" customFormat="1" ht="15" customHeight="1">
      <c r="A19" s="86"/>
      <c r="B19" s="136"/>
      <c r="C19" s="85"/>
      <c r="D19" s="85"/>
      <c r="E19" s="85"/>
      <c r="F19" s="61"/>
      <c r="G19" s="63"/>
      <c r="H19" s="63"/>
      <c r="I19" s="64"/>
      <c r="J19" s="64"/>
      <c r="K19" s="64"/>
      <c r="L19" s="64"/>
      <c r="M19" s="65"/>
      <c r="N19" s="84"/>
      <c r="O19" s="84"/>
      <c r="P19" s="66"/>
      <c r="Q19" s="66"/>
      <c r="S19" s="54"/>
    </row>
    <row r="20" spans="1:19" s="33" customFormat="1" ht="15" customHeight="1">
      <c r="A20" s="906"/>
      <c r="B20" s="907"/>
      <c r="C20" s="131"/>
      <c r="D20" s="131"/>
      <c r="E20" s="131"/>
      <c r="F20" s="137" t="s">
        <v>14</v>
      </c>
      <c r="G20" s="62" t="s">
        <v>273</v>
      </c>
      <c r="H20" s="62"/>
      <c r="I20" s="138"/>
      <c r="J20" s="138"/>
      <c r="K20" s="138"/>
      <c r="L20" s="138"/>
      <c r="M20" s="139"/>
      <c r="N20" s="140"/>
      <c r="O20" s="140"/>
      <c r="P20" s="67"/>
      <c r="Q20" s="67">
        <f>Q21</f>
        <v>2000000</v>
      </c>
      <c r="S20" s="54"/>
    </row>
    <row r="21" spans="1:19" s="33" customFormat="1" ht="15" customHeight="1">
      <c r="A21" s="61"/>
      <c r="B21" s="65"/>
      <c r="C21" s="84"/>
      <c r="D21" s="84"/>
      <c r="E21" s="84"/>
      <c r="F21" s="61"/>
      <c r="G21" s="63" t="s">
        <v>274</v>
      </c>
      <c r="H21" s="63"/>
      <c r="I21" s="64">
        <v>2</v>
      </c>
      <c r="J21" s="64" t="s">
        <v>17</v>
      </c>
      <c r="K21" s="64" t="s">
        <v>20</v>
      </c>
      <c r="L21" s="64">
        <v>2</v>
      </c>
      <c r="M21" s="65" t="s">
        <v>59</v>
      </c>
      <c r="N21" s="84">
        <f>I21*L21</f>
        <v>4</v>
      </c>
      <c r="O21" s="84" t="s">
        <v>43</v>
      </c>
      <c r="P21" s="66">
        <v>500000</v>
      </c>
      <c r="Q21" s="66">
        <f>N21*P21</f>
        <v>2000000</v>
      </c>
      <c r="S21" s="54"/>
    </row>
    <row r="22" spans="1:19" s="33" customFormat="1" ht="15" customHeight="1">
      <c r="A22" s="61"/>
      <c r="B22" s="65"/>
      <c r="C22" s="84"/>
      <c r="D22" s="84"/>
      <c r="E22" s="84"/>
      <c r="F22" s="61"/>
      <c r="G22" s="63"/>
      <c r="H22" s="63"/>
      <c r="I22" s="64"/>
      <c r="J22" s="64"/>
      <c r="K22" s="64"/>
      <c r="L22" s="64"/>
      <c r="M22" s="65"/>
      <c r="N22" s="84"/>
      <c r="O22" s="84"/>
      <c r="P22" s="66"/>
      <c r="Q22" s="66"/>
      <c r="S22" s="54"/>
    </row>
    <row r="23" spans="1:19" s="33" customFormat="1" ht="15" customHeight="1">
      <c r="A23" s="61"/>
      <c r="B23" s="65"/>
      <c r="C23" s="84"/>
      <c r="D23" s="84"/>
      <c r="E23" s="84"/>
      <c r="F23" s="61"/>
      <c r="G23" s="63"/>
      <c r="H23" s="63"/>
      <c r="I23" s="64"/>
      <c r="J23" s="64"/>
      <c r="K23" s="64"/>
      <c r="L23" s="64"/>
      <c r="M23" s="65"/>
      <c r="N23" s="84"/>
      <c r="O23" s="84"/>
      <c r="P23" s="66"/>
      <c r="Q23" s="66"/>
      <c r="S23" s="54"/>
    </row>
    <row r="24" spans="1:19" s="33" customFormat="1" ht="15" customHeight="1">
      <c r="A24" s="72"/>
      <c r="B24" s="133"/>
      <c r="C24" s="117"/>
      <c r="D24" s="117"/>
      <c r="E24" s="117"/>
      <c r="F24" s="72"/>
      <c r="G24" s="73"/>
      <c r="H24" s="73"/>
      <c r="I24" s="73"/>
      <c r="J24" s="73"/>
      <c r="K24" s="132"/>
      <c r="L24" s="132"/>
      <c r="M24" s="133"/>
      <c r="N24" s="117"/>
      <c r="O24" s="117"/>
      <c r="P24" s="74"/>
      <c r="Q24" s="74"/>
    </row>
    <row r="25" spans="1:19" s="33" customFormat="1" ht="15" customHeight="1">
      <c r="A25" s="838"/>
      <c r="B25" s="839"/>
      <c r="C25" s="87"/>
      <c r="D25" s="87"/>
      <c r="E25" s="87"/>
      <c r="F25" s="827" t="s">
        <v>163</v>
      </c>
      <c r="G25" s="828"/>
      <c r="H25" s="828"/>
      <c r="I25" s="828"/>
      <c r="J25" s="828"/>
      <c r="K25" s="828"/>
      <c r="L25" s="828"/>
      <c r="M25" s="829"/>
      <c r="N25" s="35"/>
      <c r="O25" s="35"/>
      <c r="P25" s="35"/>
      <c r="Q25" s="49">
        <f>SUM(Q16)</f>
        <v>8000000</v>
      </c>
    </row>
    <row r="26" spans="1:19" s="33" customFormat="1" ht="15.75" customHeight="1">
      <c r="A26" s="48"/>
      <c r="B26" s="77"/>
      <c r="C26" s="77"/>
      <c r="D26" s="77"/>
      <c r="E26" s="77"/>
      <c r="F26" s="134"/>
      <c r="G26" s="134"/>
      <c r="H26" s="134"/>
      <c r="I26" s="134"/>
      <c r="J26" s="134"/>
      <c r="K26" s="134"/>
      <c r="L26" s="134"/>
      <c r="M26" s="134"/>
      <c r="N26" s="76"/>
      <c r="O26" s="76"/>
      <c r="P26" s="76"/>
      <c r="Q26" s="113"/>
    </row>
    <row r="27" spans="1:19" s="33" customFormat="1" ht="15.75" customHeight="1">
      <c r="A27" s="48"/>
      <c r="B27" s="77"/>
      <c r="C27" s="77"/>
      <c r="D27" s="77"/>
      <c r="E27" s="77"/>
      <c r="F27" s="134"/>
      <c r="G27" s="134"/>
      <c r="H27" s="134"/>
      <c r="I27" s="134"/>
      <c r="J27" s="134"/>
      <c r="K27" s="134"/>
      <c r="L27" s="134"/>
      <c r="M27" s="134"/>
      <c r="N27" s="76"/>
      <c r="O27" s="76"/>
      <c r="P27" s="76"/>
      <c r="Q27" s="113"/>
    </row>
    <row r="28" spans="1:19" s="33" customFormat="1" ht="15.75" customHeight="1">
      <c r="A28" s="48"/>
      <c r="B28" s="77"/>
      <c r="C28" s="77"/>
      <c r="D28" s="77"/>
      <c r="E28" s="77"/>
      <c r="F28" s="134"/>
      <c r="G28" s="134"/>
      <c r="H28" s="134"/>
      <c r="I28" s="134"/>
      <c r="J28" s="134"/>
      <c r="K28" s="134"/>
      <c r="L28" s="134"/>
      <c r="M28" s="134"/>
      <c r="N28" s="76"/>
      <c r="O28" s="76"/>
      <c r="P28" s="76"/>
      <c r="Q28" s="113"/>
    </row>
    <row r="29" spans="1:19" s="33" customFormat="1" ht="15.75" customHeight="1">
      <c r="A29" s="48"/>
      <c r="B29" s="77"/>
      <c r="C29" s="77"/>
      <c r="D29" s="77"/>
      <c r="E29" s="77"/>
      <c r="F29" s="134"/>
      <c r="G29" s="134"/>
      <c r="H29" s="134"/>
      <c r="I29" s="134"/>
      <c r="J29" s="134"/>
      <c r="K29" s="134"/>
      <c r="L29" s="134"/>
      <c r="M29" s="134"/>
      <c r="N29" s="76"/>
      <c r="O29" s="76"/>
      <c r="P29" s="76"/>
      <c r="Q29" s="113"/>
    </row>
    <row r="30" spans="1:19" s="33" customFormat="1" ht="15.75" customHeight="1">
      <c r="A30" s="48"/>
      <c r="B30" s="77"/>
      <c r="C30" s="77"/>
      <c r="D30" s="77"/>
      <c r="E30" s="77"/>
      <c r="F30" s="134"/>
      <c r="G30" s="134"/>
      <c r="H30" s="134"/>
      <c r="I30" s="134"/>
      <c r="J30" s="134"/>
      <c r="K30" s="134"/>
      <c r="L30" s="134"/>
      <c r="M30" s="134"/>
      <c r="N30" s="76"/>
      <c r="O30" s="76"/>
      <c r="P30" s="76"/>
      <c r="Q30" s="113"/>
    </row>
    <row r="31" spans="1:19" s="33" customFormat="1" ht="12.7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52"/>
    </row>
    <row r="32" spans="1:19" s="33" customFormat="1" ht="12.75">
      <c r="A32" s="75"/>
      <c r="B32" s="76"/>
      <c r="C32" s="76"/>
      <c r="D32" s="76"/>
      <c r="E32" s="76"/>
      <c r="F32" s="76"/>
      <c r="G32" s="77" t="s">
        <v>168</v>
      </c>
      <c r="H32" s="76"/>
      <c r="I32" s="76"/>
      <c r="J32" s="76"/>
      <c r="K32" s="76"/>
      <c r="L32" s="76"/>
      <c r="M32" s="76"/>
      <c r="N32" s="76"/>
      <c r="O32" s="76"/>
      <c r="P32" s="77" t="s">
        <v>193</v>
      </c>
      <c r="Q32" s="52"/>
    </row>
    <row r="33" spans="1:17" s="33" customFormat="1" ht="12.75">
      <c r="A33" s="75"/>
      <c r="B33" s="76"/>
      <c r="C33" s="76"/>
      <c r="D33" s="76"/>
      <c r="E33" s="76"/>
      <c r="F33" s="76"/>
      <c r="G33" s="77" t="s">
        <v>303</v>
      </c>
      <c r="H33" s="76"/>
      <c r="I33" s="76"/>
      <c r="J33" s="76"/>
      <c r="K33" s="76"/>
      <c r="L33" s="76"/>
      <c r="M33" s="76"/>
      <c r="N33" s="76"/>
      <c r="O33" s="76"/>
      <c r="P33" s="76"/>
      <c r="Q33" s="52"/>
    </row>
    <row r="34" spans="1:17" s="33" customFormat="1" ht="12.75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52"/>
    </row>
    <row r="35" spans="1:17" s="33" customFormat="1" ht="12.75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52"/>
    </row>
    <row r="36" spans="1:17" s="33" customFormat="1" ht="12.7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52"/>
    </row>
    <row r="37" spans="1:17" s="33" customFormat="1" ht="12.75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52"/>
    </row>
    <row r="38" spans="1:17" s="33" customFormat="1" ht="12.7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52"/>
    </row>
    <row r="39" spans="1:17" s="33" customFormat="1" ht="12.75">
      <c r="A39" s="75"/>
      <c r="B39" s="76"/>
      <c r="C39" s="76"/>
      <c r="D39" s="76"/>
      <c r="E39" s="76"/>
      <c r="F39" s="76"/>
      <c r="G39" s="77" t="s">
        <v>304</v>
      </c>
      <c r="H39" s="76"/>
      <c r="I39" s="76"/>
      <c r="J39" s="76"/>
      <c r="K39" s="76"/>
      <c r="L39" s="76"/>
      <c r="M39" s="76"/>
      <c r="N39" s="76"/>
      <c r="O39" s="76"/>
      <c r="P39" s="77" t="s">
        <v>305</v>
      </c>
      <c r="Q39" s="52"/>
    </row>
    <row r="40" spans="1:17" s="33" customFormat="1" ht="12.75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80"/>
    </row>
    <row r="41" spans="1:17" s="33" customFormat="1" ht="12.75"/>
    <row r="42" spans="1:17" s="33" customFormat="1" ht="12.75"/>
    <row r="43" spans="1:17" s="33" customFormat="1" ht="12.75"/>
    <row r="44" spans="1:17" s="33" customFormat="1" ht="12.75"/>
    <row r="45" spans="1:17" s="33" customFormat="1" ht="12.75"/>
    <row r="46" spans="1:17" s="33" customFormat="1" ht="12.75"/>
    <row r="47" spans="1:17" s="33" customFormat="1" ht="12.75"/>
    <row r="48" spans="1:17" s="33" customFormat="1" ht="12.75"/>
    <row r="49" s="33" customFormat="1" ht="12.75"/>
    <row r="50" s="33" customFormat="1" ht="12.75"/>
    <row r="51" s="33" customFormat="1" ht="12.75"/>
    <row r="52" s="33" customFormat="1" ht="12.75"/>
    <row r="53" s="33" customFormat="1" ht="12.75"/>
    <row r="54" s="33" customFormat="1" ht="12.75"/>
    <row r="55" s="33" customFormat="1" ht="12.75"/>
    <row r="56" s="33" customFormat="1" ht="12.75"/>
    <row r="57" s="33" customFormat="1" ht="12.75"/>
    <row r="58" s="33" customFormat="1" ht="12.75"/>
    <row r="59" s="33" customFormat="1" ht="12.75"/>
    <row r="60" s="33" customFormat="1" ht="12.75"/>
    <row r="61" s="33" customFormat="1" ht="12.75"/>
    <row r="62" s="33" customFormat="1" ht="12.75"/>
    <row r="63" s="33" customFormat="1" ht="12.75"/>
    <row r="64" s="33" customFormat="1" ht="12.75"/>
    <row r="65" s="33" customFormat="1" ht="12.75"/>
    <row r="66" s="33" customFormat="1" ht="12.75"/>
    <row r="67" s="33" customFormat="1" ht="12.75"/>
    <row r="68" s="33" customFormat="1" ht="12.75"/>
    <row r="69" s="33" customFormat="1" ht="12.75"/>
    <row r="70" s="33" customFormat="1" ht="12.75"/>
    <row r="71" s="33" customFormat="1" ht="12.75"/>
    <row r="72" s="33" customFormat="1" ht="12.75"/>
    <row r="73" s="33" customFormat="1" ht="12.75"/>
    <row r="74" s="33" customFormat="1" ht="12.75"/>
    <row r="75" s="33" customFormat="1" ht="12.75"/>
    <row r="76" s="33" customFormat="1" ht="12.75"/>
    <row r="77" s="33" customFormat="1" ht="12.75"/>
    <row r="78" s="33" customFormat="1" ht="12.75"/>
    <row r="79" s="33" customFormat="1" ht="12.75"/>
    <row r="80" s="33" customFormat="1" ht="12.75"/>
    <row r="81" s="33" customFormat="1" ht="12.75"/>
    <row r="82" s="33" customFormat="1" ht="12.75"/>
    <row r="83" s="33" customFormat="1" ht="12.75"/>
    <row r="84" s="33" customFormat="1" ht="12.75"/>
    <row r="85" s="33" customFormat="1" ht="12.75"/>
    <row r="86" s="33" customFormat="1" ht="12.75"/>
    <row r="87" s="33" customFormat="1" ht="12.75"/>
    <row r="88" s="33" customFormat="1" ht="12.75"/>
    <row r="89" s="33" customFormat="1" ht="12.75"/>
    <row r="90" s="33" customFormat="1" ht="12.75"/>
    <row r="91" s="33" customFormat="1" ht="12.75"/>
    <row r="92" s="33" customFormat="1" ht="12.75"/>
    <row r="93" s="33" customFormat="1" ht="12.75"/>
    <row r="94" s="33" customFormat="1" ht="12.75"/>
    <row r="95" s="33" customFormat="1" ht="12.75"/>
    <row r="96" s="33" customFormat="1" ht="12.75"/>
    <row r="97" s="33" customFormat="1" ht="12.75"/>
    <row r="98" s="33" customFormat="1" ht="12.75"/>
    <row r="99" s="33" customFormat="1" ht="12.75"/>
    <row r="100" s="33" customFormat="1" ht="12.75"/>
    <row r="101" s="33" customFormat="1" ht="12.75"/>
    <row r="102" s="33" customFormat="1" ht="12.75"/>
    <row r="103" s="33" customFormat="1" ht="12.75"/>
    <row r="104" s="33" customFormat="1" ht="12.75"/>
    <row r="105" s="33" customFormat="1" ht="12.75"/>
    <row r="106" s="33" customFormat="1" ht="12.75"/>
    <row r="107" s="33" customFormat="1" ht="12.75"/>
    <row r="108" s="33" customFormat="1" ht="12.75"/>
    <row r="109" s="33" customFormat="1" ht="12.75"/>
    <row r="110" s="33" customFormat="1" ht="12.75"/>
    <row r="111" s="33" customFormat="1" ht="12.75"/>
    <row r="112" s="33" customFormat="1" ht="12.75"/>
    <row r="113" s="33" customFormat="1" ht="12.75"/>
    <row r="114" s="33" customFormat="1" ht="12.75"/>
    <row r="115" s="33" customFormat="1" ht="12.75"/>
    <row r="116" s="33" customFormat="1" ht="12.75"/>
    <row r="117" s="33" customFormat="1" ht="12.75"/>
    <row r="118" s="33" customFormat="1" ht="12.75"/>
    <row r="119" s="33" customFormat="1" ht="12.75"/>
    <row r="120" s="33" customFormat="1" ht="12.75"/>
    <row r="121" s="33" customFormat="1" ht="12.75"/>
    <row r="122" s="33" customFormat="1" ht="12.75"/>
    <row r="123" s="33" customFormat="1" ht="12.75"/>
    <row r="124" s="33" customFormat="1" ht="12.75"/>
    <row r="125" s="33" customFormat="1" ht="12.75"/>
    <row r="126" s="33" customFormat="1" ht="12.75"/>
    <row r="127" s="33" customFormat="1" ht="12.75"/>
    <row r="128" s="33" customFormat="1" ht="12.75"/>
    <row r="129" s="33" customFormat="1" ht="12.75"/>
    <row r="130" s="33" customFormat="1" ht="12.75"/>
    <row r="131" s="33" customFormat="1" ht="12.75"/>
    <row r="132" s="33" customFormat="1" ht="12.75"/>
    <row r="133" s="33" customFormat="1" ht="12.75"/>
    <row r="134" s="33" customFormat="1" ht="12.75"/>
    <row r="135" s="33" customFormat="1" ht="12.75"/>
    <row r="136" s="33" customFormat="1" ht="12.75"/>
    <row r="137" s="33" customFormat="1" ht="12.75"/>
    <row r="138" s="33" customFormat="1" ht="12.75"/>
    <row r="139" s="33" customFormat="1" ht="12.75"/>
    <row r="140" s="33" customFormat="1" ht="12.75"/>
    <row r="141" s="33" customFormat="1" ht="12.75"/>
    <row r="142" s="33" customFormat="1" ht="12.75"/>
    <row r="143" s="33" customFormat="1" ht="12.75"/>
    <row r="144" s="33" customFormat="1" ht="12.75"/>
    <row r="145" s="33" customFormat="1" ht="12.75"/>
    <row r="146" s="33" customFormat="1" ht="12.75"/>
    <row r="147" s="33" customFormat="1" ht="12.75"/>
    <row r="148" s="33" customFormat="1" ht="12.75"/>
    <row r="149" s="33" customFormat="1" ht="12.75"/>
    <row r="150" s="33" customFormat="1" ht="12.75"/>
    <row r="151" s="33" customFormat="1" ht="12.75"/>
    <row r="152" s="33" customFormat="1" ht="12.75"/>
    <row r="153" s="33" customFormat="1" ht="12.75"/>
    <row r="154" s="33" customFormat="1" ht="12.75"/>
    <row r="155" s="33" customFormat="1" ht="12.75"/>
    <row r="156" s="33" customFormat="1" ht="12.75"/>
    <row r="157" s="33" customFormat="1" ht="12.75"/>
    <row r="158" s="28" customFormat="1"/>
    <row r="159" s="28" customFormat="1"/>
    <row r="160" s="28" customFormat="1"/>
    <row r="161" s="28" customFormat="1"/>
    <row r="162" s="28" customFormat="1"/>
    <row r="163" s="28" customFormat="1"/>
    <row r="164" s="28" customFormat="1"/>
    <row r="165" s="28" customFormat="1"/>
    <row r="166" s="28" customFormat="1"/>
    <row r="167" s="28" customFormat="1"/>
    <row r="168" s="28" customFormat="1"/>
    <row r="169" s="28" customFormat="1"/>
    <row r="170" s="28" customFormat="1"/>
    <row r="171" s="28" customFormat="1"/>
    <row r="172" s="28" customFormat="1"/>
    <row r="173" s="28" customFormat="1"/>
    <row r="174" s="28" customFormat="1"/>
    <row r="175" s="28" customFormat="1"/>
    <row r="176" s="28" customFormat="1"/>
    <row r="177" s="28" customFormat="1"/>
    <row r="178" s="28" customFormat="1"/>
    <row r="179" s="28" customFormat="1"/>
    <row r="180" s="28" customFormat="1"/>
    <row r="181" s="28" customFormat="1"/>
    <row r="182" s="28" customFormat="1"/>
    <row r="183" s="28" customFormat="1"/>
    <row r="184" s="28" customFormat="1"/>
    <row r="185" s="28" customFormat="1"/>
  </sheetData>
  <mergeCells count="19">
    <mergeCell ref="A16:B16"/>
    <mergeCell ref="A17:B17"/>
    <mergeCell ref="A18:B18"/>
    <mergeCell ref="A25:B25"/>
    <mergeCell ref="F25:M25"/>
    <mergeCell ref="A20:B20"/>
    <mergeCell ref="A15:E15"/>
    <mergeCell ref="F15:M15"/>
    <mergeCell ref="A1:Q1"/>
    <mergeCell ref="A2:Q2"/>
    <mergeCell ref="A3:Q3"/>
    <mergeCell ref="J6:Q6"/>
    <mergeCell ref="J7:Q7"/>
    <mergeCell ref="J8:Q8"/>
    <mergeCell ref="A13:E14"/>
    <mergeCell ref="F13:M14"/>
    <mergeCell ref="N13:N14"/>
    <mergeCell ref="O13:O14"/>
    <mergeCell ref="Q13:Q14"/>
  </mergeCells>
  <pageMargins left="0.75" right="0.5" top="1" bottom="0.5" header="0.28000000000000003" footer="0.31496062992126"/>
  <pageSetup paperSize="5" scale="90" orientation="portrait" horizontalDpi="360" verticalDpi="36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F0"/>
  </sheetPr>
  <dimension ref="A1:R835"/>
  <sheetViews>
    <sheetView view="pageBreakPreview" topLeftCell="A36" zoomScaleSheetLayoutView="100" workbookViewId="0">
      <selection activeCell="O60" sqref="O60"/>
    </sheetView>
  </sheetViews>
  <sheetFormatPr defaultRowHeight="15"/>
  <cols>
    <col min="1" max="4" width="3" customWidth="1"/>
    <col min="5" max="6" width="1.5703125" customWidth="1"/>
    <col min="7" max="7" width="39.5703125" customWidth="1"/>
    <col min="8" max="8" width="2" hidden="1" customWidth="1"/>
    <col min="9" max="9" width="2.85546875" hidden="1" customWidth="1"/>
    <col min="10" max="10" width="3.7109375" hidden="1" customWidth="1"/>
    <col min="11" max="11" width="0.7109375" hidden="1" customWidth="1"/>
    <col min="12" max="12" width="0.5703125" hidden="1" customWidth="1"/>
    <col min="13" max="13" width="10.7109375" customWidth="1"/>
    <col min="14" max="14" width="15" customWidth="1"/>
    <col min="15" max="15" width="11.5703125" customWidth="1"/>
    <col min="17" max="18" width="16.5703125" bestFit="1" customWidth="1"/>
  </cols>
  <sheetData>
    <row r="1" spans="1:18" s="242" customFormat="1" ht="16.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8" s="242" customFormat="1" ht="15" customHeight="1">
      <c r="A2" s="511" t="s">
        <v>290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8" s="242" customFormat="1" ht="15" customHeight="1">
      <c r="A3" s="511" t="s">
        <v>223</v>
      </c>
      <c r="B3" s="510"/>
      <c r="C3" s="510"/>
      <c r="D3" s="510"/>
      <c r="E3" s="510"/>
      <c r="F3" s="510" t="s">
        <v>12</v>
      </c>
      <c r="G3" s="579" t="s">
        <v>407</v>
      </c>
      <c r="H3" s="510"/>
      <c r="I3" s="510"/>
      <c r="J3" s="510"/>
      <c r="K3" s="510"/>
      <c r="L3" s="510"/>
      <c r="M3" s="510"/>
      <c r="N3" s="510"/>
      <c r="O3" s="510"/>
    </row>
    <row r="4" spans="1:18" s="242" customFormat="1" ht="15" customHeight="1">
      <c r="A4" s="509" t="s">
        <v>224</v>
      </c>
      <c r="B4" s="510"/>
      <c r="C4" s="510"/>
      <c r="D4" s="510"/>
      <c r="E4" s="579"/>
      <c r="F4" s="511" t="s">
        <v>12</v>
      </c>
      <c r="G4" s="511">
        <v>2016</v>
      </c>
      <c r="H4" s="510"/>
      <c r="I4" s="510"/>
      <c r="J4" s="510"/>
      <c r="K4" s="510"/>
      <c r="L4" s="510"/>
      <c r="M4" s="510"/>
      <c r="N4" s="510"/>
      <c r="O4" s="510"/>
    </row>
    <row r="5" spans="1:18" s="242" customFormat="1" ht="15" customHeight="1">
      <c r="A5" s="511" t="s">
        <v>225</v>
      </c>
      <c r="B5" s="510"/>
      <c r="C5" s="510"/>
      <c r="D5" s="510"/>
      <c r="E5" s="511"/>
      <c r="F5" s="510" t="s">
        <v>12</v>
      </c>
      <c r="G5" s="511" t="s">
        <v>132</v>
      </c>
      <c r="H5" s="510"/>
      <c r="I5" s="510"/>
      <c r="J5" s="510"/>
      <c r="K5" s="510"/>
      <c r="L5" s="510"/>
      <c r="M5" s="510"/>
      <c r="N5" s="510"/>
      <c r="O5" s="510"/>
    </row>
    <row r="6" spans="1:18" s="242" customFormat="1" ht="15" customHeight="1">
      <c r="A6" s="510"/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</row>
    <row r="7" spans="1:18" s="242" customFormat="1" ht="15" customHeight="1">
      <c r="A7" s="800" t="s">
        <v>132</v>
      </c>
      <c r="B7" s="800"/>
      <c r="C7" s="800"/>
      <c r="D7" s="800"/>
      <c r="E7" s="800"/>
      <c r="F7" s="800"/>
      <c r="G7" s="800"/>
      <c r="H7" s="800"/>
      <c r="I7" s="800"/>
      <c r="J7" s="800"/>
      <c r="K7" s="800"/>
      <c r="L7" s="800"/>
      <c r="M7" s="800"/>
      <c r="N7" s="800"/>
      <c r="O7" s="800"/>
    </row>
    <row r="8" spans="1:18" s="242" customFormat="1" ht="15" customHeight="1">
      <c r="A8" s="908" t="s">
        <v>291</v>
      </c>
      <c r="B8" s="908"/>
      <c r="C8" s="908"/>
      <c r="D8" s="908"/>
      <c r="E8" s="908"/>
      <c r="F8" s="908"/>
      <c r="G8" s="908"/>
      <c r="H8" s="908"/>
      <c r="I8" s="908"/>
      <c r="J8" s="908"/>
      <c r="K8" s="908"/>
      <c r="L8" s="908"/>
      <c r="M8" s="908"/>
      <c r="N8" s="908"/>
      <c r="O8" s="908"/>
    </row>
    <row r="9" spans="1:18" s="242" customFormat="1" ht="15" customHeight="1">
      <c r="A9" s="800" t="s">
        <v>211</v>
      </c>
      <c r="B9" s="800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</row>
    <row r="10" spans="1:18" s="242" customFormat="1" ht="15" customHeight="1"/>
    <row r="11" spans="1:18" s="243" customFormat="1" ht="15" customHeight="1">
      <c r="A11" s="775" t="s">
        <v>128</v>
      </c>
      <c r="B11" s="776"/>
      <c r="C11" s="776"/>
      <c r="D11" s="777"/>
      <c r="E11" s="475"/>
      <c r="F11" s="776" t="s">
        <v>1</v>
      </c>
      <c r="G11" s="776"/>
      <c r="H11" s="776"/>
      <c r="I11" s="776"/>
      <c r="J11" s="776"/>
      <c r="K11" s="776"/>
      <c r="L11" s="776"/>
      <c r="M11" s="777"/>
      <c r="N11" s="479" t="s">
        <v>130</v>
      </c>
      <c r="O11" s="780" t="s">
        <v>131</v>
      </c>
    </row>
    <row r="12" spans="1:18" s="243" customFormat="1" ht="15" customHeight="1">
      <c r="A12" s="782" t="s">
        <v>129</v>
      </c>
      <c r="B12" s="783"/>
      <c r="C12" s="783"/>
      <c r="D12" s="784"/>
      <c r="E12" s="634"/>
      <c r="F12" s="778"/>
      <c r="G12" s="778"/>
      <c r="H12" s="778"/>
      <c r="I12" s="778"/>
      <c r="J12" s="778"/>
      <c r="K12" s="778"/>
      <c r="L12" s="778"/>
      <c r="M12" s="779"/>
      <c r="N12" s="480" t="s">
        <v>5</v>
      </c>
      <c r="O12" s="781"/>
    </row>
    <row r="13" spans="1:18" s="242" customFormat="1" ht="15" customHeight="1">
      <c r="A13" s="580"/>
      <c r="B13" s="581">
        <v>1</v>
      </c>
      <c r="C13" s="581"/>
      <c r="D13" s="582"/>
      <c r="E13" s="760">
        <v>2</v>
      </c>
      <c r="F13" s="761"/>
      <c r="G13" s="761"/>
      <c r="H13" s="761"/>
      <c r="I13" s="761"/>
      <c r="J13" s="761"/>
      <c r="K13" s="761"/>
      <c r="L13" s="761"/>
      <c r="M13" s="582"/>
      <c r="N13" s="513">
        <v>3</v>
      </c>
      <c r="O13" s="513">
        <v>4</v>
      </c>
      <c r="Q13" s="583">
        <v>0.3</v>
      </c>
      <c r="R13" s="583">
        <v>0.7</v>
      </c>
    </row>
    <row r="14" spans="1:18" s="242" customFormat="1" ht="15" customHeight="1">
      <c r="A14" s="351"/>
      <c r="B14" s="584"/>
      <c r="C14" s="584"/>
      <c r="D14" s="584"/>
      <c r="E14" s="770" t="s">
        <v>133</v>
      </c>
      <c r="F14" s="771"/>
      <c r="G14" s="771"/>
      <c r="H14" s="771"/>
      <c r="I14" s="771"/>
      <c r="J14" s="771"/>
      <c r="K14" s="771"/>
      <c r="L14" s="771"/>
      <c r="M14" s="585"/>
      <c r="N14" s="429">
        <f>SUM(N15+N24)</f>
        <v>1042646195</v>
      </c>
      <c r="O14" s="596"/>
      <c r="Q14" s="282">
        <f>N14*30%</f>
        <v>312793858.5</v>
      </c>
      <c r="R14" s="282">
        <f>N14*70%</f>
        <v>729852336.5</v>
      </c>
    </row>
    <row r="15" spans="1:18" s="383" customFormat="1" ht="15" customHeight="1">
      <c r="A15" s="279">
        <v>1</v>
      </c>
      <c r="B15" s="488">
        <v>1</v>
      </c>
      <c r="C15" s="488"/>
      <c r="D15" s="488"/>
      <c r="E15" s="772" t="s">
        <v>134</v>
      </c>
      <c r="F15" s="773"/>
      <c r="G15" s="773"/>
      <c r="H15" s="773"/>
      <c r="I15" s="773"/>
      <c r="J15" s="773"/>
      <c r="K15" s="773"/>
      <c r="L15" s="773"/>
      <c r="M15" s="774"/>
      <c r="N15" s="586">
        <f>N16+N21+N22</f>
        <v>20000000</v>
      </c>
      <c r="O15" s="635"/>
    </row>
    <row r="16" spans="1:18" s="242" customFormat="1" ht="15" customHeight="1">
      <c r="A16" s="497">
        <v>1</v>
      </c>
      <c r="B16" s="426">
        <v>1</v>
      </c>
      <c r="C16" s="426">
        <v>1</v>
      </c>
      <c r="D16" s="426"/>
      <c r="E16" s="758" t="s">
        <v>135</v>
      </c>
      <c r="F16" s="759"/>
      <c r="G16" s="759"/>
      <c r="H16" s="759"/>
      <c r="I16" s="759"/>
      <c r="J16" s="759"/>
      <c r="K16" s="759"/>
      <c r="L16" s="759"/>
      <c r="M16" s="498"/>
      <c r="N16" s="587">
        <f>SUM(N17:N19)</f>
        <v>20000000</v>
      </c>
      <c r="O16" s="636"/>
      <c r="Q16" s="588"/>
    </row>
    <row r="17" spans="1:18" s="242" customFormat="1" ht="15" customHeight="1">
      <c r="A17" s="497"/>
      <c r="B17" s="426"/>
      <c r="C17" s="426"/>
      <c r="D17" s="426"/>
      <c r="E17" s="589" t="s">
        <v>14</v>
      </c>
      <c r="F17" s="673" t="s">
        <v>575</v>
      </c>
      <c r="G17" s="590"/>
      <c r="H17" s="590"/>
      <c r="I17" s="590"/>
      <c r="J17" s="590"/>
      <c r="K17" s="590"/>
      <c r="L17" s="590"/>
      <c r="M17" s="498"/>
      <c r="N17" s="587">
        <v>7200000</v>
      </c>
      <c r="O17" s="636"/>
      <c r="Q17" s="588"/>
    </row>
    <row r="18" spans="1:18" s="242" customFormat="1" ht="15" customHeight="1">
      <c r="A18" s="497"/>
      <c r="B18" s="426"/>
      <c r="C18" s="426"/>
      <c r="D18" s="426"/>
      <c r="E18" s="589" t="s">
        <v>14</v>
      </c>
      <c r="F18" s="590" t="s">
        <v>444</v>
      </c>
      <c r="G18" s="590"/>
      <c r="H18" s="590"/>
      <c r="I18" s="590"/>
      <c r="J18" s="590"/>
      <c r="K18" s="590"/>
      <c r="L18" s="590"/>
      <c r="M18" s="498"/>
      <c r="N18" s="587">
        <v>4800000</v>
      </c>
      <c r="O18" s="636"/>
      <c r="Q18" s="588">
        <f>20000000-N15</f>
        <v>0</v>
      </c>
    </row>
    <row r="19" spans="1:18" s="242" customFormat="1" ht="15" customHeight="1">
      <c r="A19" s="497"/>
      <c r="B19" s="426"/>
      <c r="C19" s="426"/>
      <c r="D19" s="426"/>
      <c r="E19" s="589" t="s">
        <v>14</v>
      </c>
      <c r="F19" s="590" t="s">
        <v>443</v>
      </c>
      <c r="G19" s="590"/>
      <c r="H19" s="590"/>
      <c r="I19" s="590"/>
      <c r="J19" s="590"/>
      <c r="K19" s="590"/>
      <c r="L19" s="590"/>
      <c r="M19" s="498"/>
      <c r="N19" s="587">
        <v>8000000</v>
      </c>
      <c r="O19" s="636"/>
      <c r="Q19" s="588"/>
    </row>
    <row r="20" spans="1:18" s="242" customFormat="1" ht="15" customHeight="1">
      <c r="A20" s="497"/>
      <c r="B20" s="426"/>
      <c r="C20" s="426"/>
      <c r="D20" s="426"/>
      <c r="E20" s="589"/>
      <c r="F20" s="590"/>
      <c r="G20" s="590"/>
      <c r="H20" s="590"/>
      <c r="I20" s="590"/>
      <c r="J20" s="590"/>
      <c r="K20" s="590"/>
      <c r="L20" s="590"/>
      <c r="M20" s="498"/>
      <c r="N20" s="587"/>
      <c r="O20" s="636"/>
      <c r="Q20" s="588"/>
    </row>
    <row r="21" spans="1:18" s="242" customFormat="1" ht="15" customHeight="1">
      <c r="A21" s="497">
        <v>1</v>
      </c>
      <c r="B21" s="426">
        <v>1</v>
      </c>
      <c r="C21" s="426">
        <v>2</v>
      </c>
      <c r="D21" s="426"/>
      <c r="E21" s="758" t="s">
        <v>136</v>
      </c>
      <c r="F21" s="759"/>
      <c r="G21" s="759"/>
      <c r="H21" s="759"/>
      <c r="I21" s="759"/>
      <c r="J21" s="759"/>
      <c r="K21" s="759"/>
      <c r="L21" s="759"/>
      <c r="M21" s="498"/>
      <c r="N21" s="591">
        <v>0</v>
      </c>
      <c r="O21" s="636"/>
    </row>
    <row r="22" spans="1:18" s="242" customFormat="1" ht="15" customHeight="1">
      <c r="A22" s="497">
        <v>1</v>
      </c>
      <c r="B22" s="426">
        <v>1</v>
      </c>
      <c r="C22" s="426">
        <v>3</v>
      </c>
      <c r="D22" s="426"/>
      <c r="E22" s="758" t="s">
        <v>137</v>
      </c>
      <c r="F22" s="759"/>
      <c r="G22" s="759"/>
      <c r="H22" s="759"/>
      <c r="I22" s="759"/>
      <c r="J22" s="759"/>
      <c r="K22" s="759"/>
      <c r="L22" s="759"/>
      <c r="M22" s="498"/>
      <c r="N22" s="587"/>
      <c r="O22" s="636"/>
    </row>
    <row r="23" spans="1:18" s="242" customFormat="1" ht="15" customHeight="1">
      <c r="A23" s="497"/>
      <c r="B23" s="426"/>
      <c r="C23" s="426"/>
      <c r="D23" s="426"/>
      <c r="E23" s="758"/>
      <c r="F23" s="759"/>
      <c r="G23" s="759"/>
      <c r="H23" s="759"/>
      <c r="I23" s="759"/>
      <c r="J23" s="759"/>
      <c r="K23" s="759"/>
      <c r="L23" s="759"/>
      <c r="M23" s="592"/>
      <c r="N23" s="587"/>
      <c r="O23" s="636"/>
    </row>
    <row r="24" spans="1:18" s="242" customFormat="1" ht="15" customHeight="1">
      <c r="A24" s="497">
        <v>1</v>
      </c>
      <c r="B24" s="426">
        <v>2</v>
      </c>
      <c r="C24" s="426"/>
      <c r="D24" s="426"/>
      <c r="E24" s="593" t="s">
        <v>138</v>
      </c>
      <c r="F24" s="594"/>
      <c r="G24" s="594"/>
      <c r="H24" s="594"/>
      <c r="I24" s="594"/>
      <c r="J24" s="594"/>
      <c r="K24" s="594"/>
      <c r="L24" s="594"/>
      <c r="M24" s="592"/>
      <c r="N24" s="595">
        <f>SUM(N25+N26+N30+N31)</f>
        <v>1022646195</v>
      </c>
      <c r="O24" s="636"/>
    </row>
    <row r="25" spans="1:18" s="242" customFormat="1" ht="15" customHeight="1">
      <c r="A25" s="497">
        <v>1</v>
      </c>
      <c r="B25" s="426">
        <v>2</v>
      </c>
      <c r="C25" s="426">
        <v>1</v>
      </c>
      <c r="D25" s="426"/>
      <c r="E25" s="593" t="s">
        <v>139</v>
      </c>
      <c r="F25" s="594"/>
      <c r="G25" s="594"/>
      <c r="H25" s="594"/>
      <c r="I25" s="594"/>
      <c r="J25" s="594"/>
      <c r="K25" s="594"/>
      <c r="L25" s="594"/>
      <c r="M25" s="498"/>
      <c r="N25" s="595">
        <v>641767000</v>
      </c>
      <c r="O25" s="637"/>
      <c r="Q25" s="271">
        <v>13303838</v>
      </c>
    </row>
    <row r="26" spans="1:18" s="242" customFormat="1" ht="15" customHeight="1">
      <c r="A26" s="497">
        <v>1</v>
      </c>
      <c r="B26" s="426">
        <v>2</v>
      </c>
      <c r="C26" s="426">
        <v>2</v>
      </c>
      <c r="D26" s="426"/>
      <c r="E26" s="593" t="s">
        <v>140</v>
      </c>
      <c r="F26" s="594"/>
      <c r="G26" s="594"/>
      <c r="H26" s="594"/>
      <c r="I26" s="594"/>
      <c r="J26" s="594"/>
      <c r="K26" s="594"/>
      <c r="L26" s="594"/>
      <c r="M26" s="498"/>
      <c r="N26" s="595">
        <f>SUM(N27:N29)</f>
        <v>36712389</v>
      </c>
      <c r="O26" s="637"/>
      <c r="Q26" s="271">
        <v>9382982</v>
      </c>
    </row>
    <row r="27" spans="1:18" s="242" customFormat="1" ht="15" customHeight="1">
      <c r="A27" s="497">
        <v>1</v>
      </c>
      <c r="B27" s="426">
        <v>2</v>
      </c>
      <c r="C27" s="426">
        <v>2</v>
      </c>
      <c r="D27" s="426">
        <v>1</v>
      </c>
      <c r="E27" s="589" t="s">
        <v>404</v>
      </c>
      <c r="F27" s="590"/>
      <c r="G27" s="590"/>
      <c r="H27" s="590"/>
      <c r="I27" s="590"/>
      <c r="J27" s="590"/>
      <c r="K27" s="590"/>
      <c r="L27" s="590"/>
      <c r="M27" s="498"/>
      <c r="N27" s="587">
        <v>14384750</v>
      </c>
      <c r="O27" s="637"/>
      <c r="Q27" s="271"/>
    </row>
    <row r="28" spans="1:18" s="242" customFormat="1" ht="15" customHeight="1">
      <c r="A28" s="497">
        <v>1</v>
      </c>
      <c r="B28" s="426">
        <v>2</v>
      </c>
      <c r="C28" s="426">
        <v>2</v>
      </c>
      <c r="D28" s="426">
        <v>2</v>
      </c>
      <c r="E28" s="589" t="s">
        <v>405</v>
      </c>
      <c r="F28" s="590"/>
      <c r="G28" s="590"/>
      <c r="H28" s="590"/>
      <c r="I28" s="590"/>
      <c r="J28" s="590"/>
      <c r="K28" s="590"/>
      <c r="L28" s="590"/>
      <c r="M28" s="498"/>
      <c r="N28" s="587">
        <v>11413990</v>
      </c>
      <c r="O28" s="637"/>
      <c r="Q28" s="271"/>
    </row>
    <row r="29" spans="1:18" s="242" customFormat="1" ht="15" customHeight="1">
      <c r="A29" s="497">
        <v>1</v>
      </c>
      <c r="B29" s="426">
        <v>2</v>
      </c>
      <c r="C29" s="426">
        <v>2</v>
      </c>
      <c r="D29" s="426">
        <v>3</v>
      </c>
      <c r="E29" s="589" t="s">
        <v>406</v>
      </c>
      <c r="F29" s="590"/>
      <c r="G29" s="590"/>
      <c r="H29" s="590"/>
      <c r="I29" s="590"/>
      <c r="J29" s="590"/>
      <c r="K29" s="590"/>
      <c r="L29" s="590"/>
      <c r="M29" s="498"/>
      <c r="N29" s="587">
        <v>10913649</v>
      </c>
      <c r="O29" s="637"/>
      <c r="Q29" s="271"/>
    </row>
    <row r="30" spans="1:18" s="242" customFormat="1" ht="15" customHeight="1">
      <c r="A30" s="497">
        <v>1</v>
      </c>
      <c r="B30" s="426">
        <v>2</v>
      </c>
      <c r="C30" s="426">
        <v>3</v>
      </c>
      <c r="D30" s="426"/>
      <c r="E30" s="593" t="s">
        <v>141</v>
      </c>
      <c r="F30" s="594"/>
      <c r="G30" s="594"/>
      <c r="H30" s="594"/>
      <c r="I30" s="594"/>
      <c r="J30" s="594"/>
      <c r="K30" s="594"/>
      <c r="L30" s="594"/>
      <c r="M30" s="498"/>
      <c r="N30" s="595">
        <v>344166806</v>
      </c>
      <c r="O30" s="596"/>
      <c r="Q30" s="282">
        <f>SUM(Q25:Q26)</f>
        <v>22686820</v>
      </c>
    </row>
    <row r="31" spans="1:18" s="242" customFormat="1" ht="15" customHeight="1">
      <c r="A31" s="497">
        <v>1</v>
      </c>
      <c r="B31" s="426">
        <v>2</v>
      </c>
      <c r="C31" s="426">
        <v>4</v>
      </c>
      <c r="D31" s="426"/>
      <c r="E31" s="758" t="s">
        <v>142</v>
      </c>
      <c r="F31" s="759"/>
      <c r="G31" s="759"/>
      <c r="H31" s="759"/>
      <c r="I31" s="759"/>
      <c r="J31" s="759"/>
      <c r="K31" s="759"/>
      <c r="L31" s="759"/>
      <c r="M31" s="498"/>
      <c r="N31" s="595">
        <f>SUM(N32:N33)</f>
        <v>0</v>
      </c>
      <c r="O31" s="637"/>
    </row>
    <row r="32" spans="1:18" s="242" customFormat="1" ht="15" customHeight="1">
      <c r="A32" s="497">
        <v>1</v>
      </c>
      <c r="B32" s="426">
        <v>2</v>
      </c>
      <c r="C32" s="426">
        <v>4</v>
      </c>
      <c r="D32" s="426">
        <v>1</v>
      </c>
      <c r="E32" s="758" t="s">
        <v>143</v>
      </c>
      <c r="F32" s="759"/>
      <c r="G32" s="759"/>
      <c r="H32" s="759"/>
      <c r="I32" s="759"/>
      <c r="J32" s="759"/>
      <c r="K32" s="759"/>
      <c r="L32" s="759"/>
      <c r="M32" s="498"/>
      <c r="N32" s="587">
        <v>0</v>
      </c>
      <c r="O32" s="637"/>
      <c r="Q32" s="271">
        <v>23903700</v>
      </c>
      <c r="R32" s="311">
        <f>N30+N31</f>
        <v>344166806</v>
      </c>
    </row>
    <row r="33" spans="1:17" s="242" customFormat="1" ht="15" customHeight="1">
      <c r="A33" s="497">
        <v>1</v>
      </c>
      <c r="B33" s="426">
        <v>2</v>
      </c>
      <c r="C33" s="426">
        <v>4</v>
      </c>
      <c r="D33" s="426">
        <v>2</v>
      </c>
      <c r="E33" s="758" t="s">
        <v>144</v>
      </c>
      <c r="F33" s="759"/>
      <c r="G33" s="759"/>
      <c r="H33" s="759"/>
      <c r="I33" s="759"/>
      <c r="J33" s="759"/>
      <c r="K33" s="759"/>
      <c r="L33" s="759"/>
      <c r="M33" s="498"/>
      <c r="N33" s="587">
        <v>0</v>
      </c>
      <c r="O33" s="637"/>
      <c r="Q33" s="282">
        <f>Q32*9</f>
        <v>215133300</v>
      </c>
    </row>
    <row r="34" spans="1:17" s="242" customFormat="1" ht="15" customHeight="1">
      <c r="A34" s="497"/>
      <c r="B34" s="426"/>
      <c r="C34" s="426"/>
      <c r="D34" s="426"/>
      <c r="E34" s="758"/>
      <c r="F34" s="759"/>
      <c r="G34" s="759"/>
      <c r="H34" s="759"/>
      <c r="I34" s="759"/>
      <c r="J34" s="759"/>
      <c r="K34" s="759"/>
      <c r="L34" s="759"/>
      <c r="M34" s="484"/>
      <c r="N34" s="587"/>
      <c r="O34" s="513"/>
    </row>
    <row r="35" spans="1:17" s="242" customFormat="1" ht="15" customHeight="1">
      <c r="A35" s="497">
        <v>1</v>
      </c>
      <c r="B35" s="426">
        <v>3</v>
      </c>
      <c r="C35" s="426"/>
      <c r="D35" s="426"/>
      <c r="E35" s="762" t="s">
        <v>145</v>
      </c>
      <c r="F35" s="763"/>
      <c r="G35" s="763"/>
      <c r="H35" s="763"/>
      <c r="I35" s="763"/>
      <c r="J35" s="763"/>
      <c r="K35" s="763"/>
      <c r="L35" s="763"/>
      <c r="M35" s="484"/>
      <c r="N35" s="591">
        <f>SUM(N36:N37)</f>
        <v>0</v>
      </c>
      <c r="O35" s="596"/>
      <c r="Q35" s="271">
        <f>'[1]Kindang (3)'!$G$25*12</f>
        <v>105086400</v>
      </c>
    </row>
    <row r="36" spans="1:17" s="242" customFormat="1" ht="15" customHeight="1">
      <c r="A36" s="497">
        <v>1</v>
      </c>
      <c r="B36" s="426">
        <v>3</v>
      </c>
      <c r="C36" s="426">
        <v>1</v>
      </c>
      <c r="D36" s="426"/>
      <c r="E36" s="593" t="s">
        <v>146</v>
      </c>
      <c r="F36" s="594"/>
      <c r="G36" s="594"/>
      <c r="H36" s="594"/>
      <c r="I36" s="594"/>
      <c r="J36" s="594"/>
      <c r="K36" s="594"/>
      <c r="L36" s="594"/>
      <c r="M36" s="498"/>
      <c r="N36" s="591">
        <v>0</v>
      </c>
      <c r="O36" s="637"/>
    </row>
    <row r="37" spans="1:17" s="242" customFormat="1" ht="15" customHeight="1">
      <c r="A37" s="497">
        <v>1</v>
      </c>
      <c r="B37" s="426">
        <v>3</v>
      </c>
      <c r="C37" s="426">
        <v>2</v>
      </c>
      <c r="D37" s="426"/>
      <c r="E37" s="758" t="s">
        <v>147</v>
      </c>
      <c r="F37" s="759"/>
      <c r="G37" s="759"/>
      <c r="H37" s="759"/>
      <c r="I37" s="759"/>
      <c r="J37" s="759"/>
      <c r="K37" s="759"/>
      <c r="L37" s="759"/>
      <c r="M37" s="498"/>
      <c r="N37" s="591">
        <v>0</v>
      </c>
      <c r="O37" s="637"/>
    </row>
    <row r="38" spans="1:17" s="242" customFormat="1" ht="15" customHeight="1">
      <c r="A38" s="497"/>
      <c r="B38" s="426"/>
      <c r="C38" s="426"/>
      <c r="D38" s="426"/>
      <c r="E38" s="758"/>
      <c r="F38" s="759"/>
      <c r="G38" s="759"/>
      <c r="H38" s="759"/>
      <c r="I38" s="759"/>
      <c r="J38" s="759"/>
      <c r="K38" s="759"/>
      <c r="L38" s="759"/>
      <c r="M38" s="498"/>
      <c r="N38" s="587"/>
      <c r="O38" s="637"/>
    </row>
    <row r="39" spans="1:17" s="242" customFormat="1" ht="15" customHeight="1">
      <c r="A39" s="497"/>
      <c r="B39" s="426"/>
      <c r="C39" s="426"/>
      <c r="D39" s="426"/>
      <c r="E39" s="762" t="s">
        <v>148</v>
      </c>
      <c r="F39" s="763"/>
      <c r="G39" s="763"/>
      <c r="H39" s="763"/>
      <c r="I39" s="763"/>
      <c r="J39" s="763"/>
      <c r="K39" s="763"/>
      <c r="L39" s="763"/>
      <c r="M39" s="498"/>
      <c r="N39" s="597">
        <f>SUM(N14)</f>
        <v>1042646195</v>
      </c>
      <c r="O39" s="598"/>
      <c r="Q39" s="599"/>
    </row>
    <row r="40" spans="1:17" s="242" customFormat="1" ht="15" customHeight="1">
      <c r="A40" s="497"/>
      <c r="B40" s="426"/>
      <c r="C40" s="426"/>
      <c r="D40" s="426"/>
      <c r="E40" s="768"/>
      <c r="F40" s="769"/>
      <c r="G40" s="769"/>
      <c r="H40" s="769"/>
      <c r="I40" s="769"/>
      <c r="J40" s="769"/>
      <c r="K40" s="769"/>
      <c r="L40" s="769"/>
      <c r="M40" s="498"/>
      <c r="N40" s="587"/>
      <c r="O40" s="637"/>
    </row>
    <row r="41" spans="1:17" s="242" customFormat="1" ht="15" customHeight="1">
      <c r="A41" s="497">
        <v>2</v>
      </c>
      <c r="B41" s="426"/>
      <c r="C41" s="426"/>
      <c r="D41" s="426"/>
      <c r="E41" s="600" t="s">
        <v>14</v>
      </c>
      <c r="F41" s="763" t="s">
        <v>149</v>
      </c>
      <c r="G41" s="763"/>
      <c r="H41" s="763"/>
      <c r="I41" s="763"/>
      <c r="J41" s="763"/>
      <c r="K41" s="763"/>
      <c r="L41" s="763"/>
      <c r="M41" s="498"/>
      <c r="N41" s="601"/>
      <c r="O41" s="596"/>
      <c r="Q41" s="602"/>
    </row>
    <row r="42" spans="1:17" s="242" customFormat="1" ht="15" customHeight="1">
      <c r="A42" s="482">
        <v>2</v>
      </c>
      <c r="B42" s="513">
        <v>1</v>
      </c>
      <c r="C42" s="513"/>
      <c r="D42" s="513"/>
      <c r="E42" s="580" t="s">
        <v>82</v>
      </c>
      <c r="F42" s="581"/>
      <c r="G42" s="581"/>
      <c r="H42" s="581"/>
      <c r="I42" s="581"/>
      <c r="J42" s="581"/>
      <c r="K42" s="581"/>
      <c r="L42" s="581"/>
      <c r="M42" s="484"/>
      <c r="N42" s="601">
        <f>SUM(N44+N49+N69+N77+N82+N87+N97+N102+N109+N116+N134+N141+N148)</f>
        <v>276059873</v>
      </c>
      <c r="O42" s="637"/>
      <c r="Q42" s="282">
        <f>Q14-N42</f>
        <v>36733985.5</v>
      </c>
    </row>
    <row r="43" spans="1:17" s="242" customFormat="1" ht="15" customHeight="1">
      <c r="A43" s="482"/>
      <c r="B43" s="513"/>
      <c r="C43" s="513"/>
      <c r="D43" s="513"/>
      <c r="E43" s="603"/>
      <c r="F43" s="604"/>
      <c r="G43" s="604"/>
      <c r="H43" s="604"/>
      <c r="I43" s="604"/>
      <c r="J43" s="604"/>
      <c r="K43" s="604"/>
      <c r="L43" s="604"/>
      <c r="M43" s="484"/>
      <c r="N43" s="601"/>
      <c r="O43" s="637"/>
      <c r="Q43" s="282"/>
    </row>
    <row r="44" spans="1:17" s="242" customFormat="1" ht="15" customHeight="1">
      <c r="A44" s="497">
        <v>2</v>
      </c>
      <c r="B44" s="426">
        <v>1</v>
      </c>
      <c r="C44" s="426">
        <v>1</v>
      </c>
      <c r="D44" s="426"/>
      <c r="E44" s="593" t="s">
        <v>174</v>
      </c>
      <c r="F44" s="594"/>
      <c r="G44" s="594"/>
      <c r="H44" s="594"/>
      <c r="I44" s="594"/>
      <c r="J44" s="594"/>
      <c r="K44" s="594"/>
      <c r="L44" s="594"/>
      <c r="M44" s="498"/>
      <c r="N44" s="601">
        <f>SUM(N45)</f>
        <v>117773900</v>
      </c>
      <c r="O44" s="637" t="s">
        <v>288</v>
      </c>
    </row>
    <row r="45" spans="1:17" s="242" customFormat="1" ht="15" customHeight="1">
      <c r="A45" s="497">
        <v>2</v>
      </c>
      <c r="B45" s="426">
        <v>1</v>
      </c>
      <c r="C45" s="426">
        <v>1</v>
      </c>
      <c r="D45" s="426">
        <v>1</v>
      </c>
      <c r="E45" s="758" t="s">
        <v>150</v>
      </c>
      <c r="F45" s="759"/>
      <c r="G45" s="759"/>
      <c r="H45" s="759"/>
      <c r="I45" s="759"/>
      <c r="J45" s="759"/>
      <c r="K45" s="759"/>
      <c r="L45" s="759"/>
      <c r="M45" s="498"/>
      <c r="N45" s="601">
        <f>SUM(N46:N48)</f>
        <v>117773900</v>
      </c>
      <c r="O45" s="637"/>
    </row>
    <row r="46" spans="1:17" s="242" customFormat="1" ht="15" customHeight="1">
      <c r="A46" s="497"/>
      <c r="B46" s="426"/>
      <c r="C46" s="426"/>
      <c r="D46" s="426"/>
      <c r="E46" s="600" t="s">
        <v>14</v>
      </c>
      <c r="F46" s="594" t="s">
        <v>83</v>
      </c>
      <c r="G46" s="590"/>
      <c r="H46" s="594"/>
      <c r="I46" s="594"/>
      <c r="J46" s="594"/>
      <c r="K46" s="594"/>
      <c r="L46" s="594"/>
      <c r="M46" s="498"/>
      <c r="N46" s="605">
        <f>'RAB 2.1.1OKE'!R17</f>
        <v>95086400</v>
      </c>
      <c r="O46" s="637"/>
    </row>
    <row r="47" spans="1:17" s="242" customFormat="1" ht="15" customHeight="1">
      <c r="A47" s="497"/>
      <c r="B47" s="426"/>
      <c r="C47" s="426"/>
      <c r="D47" s="426"/>
      <c r="E47" s="600" t="s">
        <v>14</v>
      </c>
      <c r="F47" s="590" t="s">
        <v>284</v>
      </c>
      <c r="G47" s="590"/>
      <c r="H47" s="590"/>
      <c r="I47" s="590"/>
      <c r="J47" s="590"/>
      <c r="K47" s="590"/>
      <c r="L47" s="590"/>
      <c r="M47" s="606"/>
      <c r="N47" s="591">
        <f>'RAB 2.1.1OKE'!R22</f>
        <v>7087500</v>
      </c>
      <c r="O47" s="637"/>
    </row>
    <row r="48" spans="1:17" s="242" customFormat="1" ht="15" customHeight="1">
      <c r="A48" s="497"/>
      <c r="B48" s="426"/>
      <c r="C48" s="426"/>
      <c r="D48" s="426"/>
      <c r="E48" s="600" t="s">
        <v>14</v>
      </c>
      <c r="F48" s="590" t="s">
        <v>23</v>
      </c>
      <c r="G48" s="590"/>
      <c r="H48" s="590"/>
      <c r="I48" s="590"/>
      <c r="J48" s="590"/>
      <c r="K48" s="590"/>
      <c r="L48" s="590"/>
      <c r="M48" s="498"/>
      <c r="N48" s="605">
        <f>'RAB 2.1.1OKE'!R27</f>
        <v>15600000</v>
      </c>
      <c r="O48" s="637"/>
    </row>
    <row r="49" spans="1:17" s="242" customFormat="1" ht="15" customHeight="1">
      <c r="A49" s="497">
        <v>2</v>
      </c>
      <c r="B49" s="426">
        <v>1</v>
      </c>
      <c r="C49" s="426">
        <v>2</v>
      </c>
      <c r="D49" s="426"/>
      <c r="E49" s="607" t="s">
        <v>84</v>
      </c>
      <c r="F49" s="590"/>
      <c r="G49" s="590"/>
      <c r="H49" s="590"/>
      <c r="I49" s="590"/>
      <c r="J49" s="590"/>
      <c r="K49" s="590"/>
      <c r="L49" s="590"/>
      <c r="M49" s="498"/>
      <c r="N49" s="608">
        <f>N50+N59</f>
        <v>92002500</v>
      </c>
      <c r="O49" s="637" t="s">
        <v>573</v>
      </c>
      <c r="Q49" s="311">
        <f>N49+N69+N77+N82+N87+N102+N109+N116+N134+N141+N148</f>
        <v>153285973</v>
      </c>
    </row>
    <row r="50" spans="1:17" s="242" customFormat="1" ht="15" customHeight="1">
      <c r="A50" s="497">
        <v>2</v>
      </c>
      <c r="B50" s="426">
        <v>1</v>
      </c>
      <c r="C50" s="426">
        <v>2</v>
      </c>
      <c r="D50" s="426">
        <v>2</v>
      </c>
      <c r="E50" s="607" t="s">
        <v>29</v>
      </c>
      <c r="F50" s="590"/>
      <c r="G50" s="590"/>
      <c r="H50" s="590"/>
      <c r="I50" s="590"/>
      <c r="J50" s="590"/>
      <c r="K50" s="590"/>
      <c r="L50" s="590"/>
      <c r="M50" s="498"/>
      <c r="N50" s="608">
        <f>SUM(N51:N58)</f>
        <v>72002500</v>
      </c>
      <c r="O50" s="637"/>
    </row>
    <row r="51" spans="1:17" s="242" customFormat="1" ht="15" customHeight="1">
      <c r="A51" s="497"/>
      <c r="B51" s="426"/>
      <c r="C51" s="426"/>
      <c r="D51" s="426"/>
      <c r="E51" s="600" t="s">
        <v>14</v>
      </c>
      <c r="F51" s="759" t="s">
        <v>30</v>
      </c>
      <c r="G51" s="759"/>
      <c r="H51" s="759"/>
      <c r="I51" s="759"/>
      <c r="J51" s="759"/>
      <c r="K51" s="759"/>
      <c r="L51" s="759"/>
      <c r="M51" s="498"/>
      <c r="N51" s="605">
        <f>'RAB 2.1.2 OKE'!R16</f>
        <v>2307500</v>
      </c>
      <c r="O51" s="637"/>
      <c r="Q51" s="311">
        <f>Q49-N94</f>
        <v>152869399</v>
      </c>
    </row>
    <row r="52" spans="1:17" s="242" customFormat="1" ht="15" customHeight="1">
      <c r="A52" s="497"/>
      <c r="B52" s="426"/>
      <c r="C52" s="426"/>
      <c r="D52" s="426"/>
      <c r="E52" s="600" t="s">
        <v>14</v>
      </c>
      <c r="F52" s="759" t="s">
        <v>195</v>
      </c>
      <c r="G52" s="759"/>
      <c r="H52" s="759"/>
      <c r="I52" s="759"/>
      <c r="J52" s="759"/>
      <c r="K52" s="759"/>
      <c r="L52" s="759"/>
      <c r="M52" s="498"/>
      <c r="N52" s="605">
        <f>'RAB 2.1.2 OKE'!R30</f>
        <v>1125000</v>
      </c>
      <c r="O52" s="637"/>
    </row>
    <row r="53" spans="1:17" s="242" customFormat="1" ht="15" customHeight="1">
      <c r="A53" s="497"/>
      <c r="B53" s="426"/>
      <c r="C53" s="426"/>
      <c r="D53" s="426"/>
      <c r="E53" s="600" t="s">
        <v>14</v>
      </c>
      <c r="F53" s="590" t="s">
        <v>260</v>
      </c>
      <c r="G53" s="590"/>
      <c r="H53" s="590"/>
      <c r="I53" s="590"/>
      <c r="J53" s="590"/>
      <c r="K53" s="590"/>
      <c r="L53" s="590"/>
      <c r="M53" s="498"/>
      <c r="N53" s="605">
        <f>'RAB 2.1.2 OKE'!R38</f>
        <v>2450000</v>
      </c>
      <c r="O53" s="637"/>
    </row>
    <row r="54" spans="1:17" s="242" customFormat="1" ht="15" customHeight="1">
      <c r="A54" s="497"/>
      <c r="B54" s="426"/>
      <c r="C54" s="426"/>
      <c r="D54" s="426"/>
      <c r="E54" s="600" t="s">
        <v>14</v>
      </c>
      <c r="F54" s="759" t="s">
        <v>151</v>
      </c>
      <c r="G54" s="759"/>
      <c r="H54" s="759"/>
      <c r="I54" s="759"/>
      <c r="J54" s="759"/>
      <c r="K54" s="759"/>
      <c r="L54" s="759"/>
      <c r="M54" s="498"/>
      <c r="N54" s="605">
        <f>'RAB 2.1.2 OKE'!R34</f>
        <v>405000</v>
      </c>
      <c r="O54" s="638"/>
    </row>
    <row r="55" spans="1:17" s="242" customFormat="1" ht="15" customHeight="1">
      <c r="A55" s="497"/>
      <c r="B55" s="426"/>
      <c r="C55" s="426"/>
      <c r="D55" s="426"/>
      <c r="E55" s="600" t="s">
        <v>14</v>
      </c>
      <c r="F55" s="759" t="s">
        <v>40</v>
      </c>
      <c r="G55" s="759"/>
      <c r="H55" s="759"/>
      <c r="I55" s="759"/>
      <c r="J55" s="759"/>
      <c r="K55" s="759"/>
      <c r="L55" s="759"/>
      <c r="M55" s="498"/>
      <c r="N55" s="605">
        <f>'RAB 2.1.2 OKE'!R42</f>
        <v>35655000</v>
      </c>
      <c r="O55" s="596"/>
    </row>
    <row r="56" spans="1:17" s="242" customFormat="1" ht="15" customHeight="1">
      <c r="A56" s="497"/>
      <c r="B56" s="426"/>
      <c r="C56" s="426"/>
      <c r="D56" s="426"/>
      <c r="E56" s="600" t="s">
        <v>14</v>
      </c>
      <c r="F56" s="590" t="str">
        <f>'RAB 2.1.2 OKE'!H60</f>
        <v>Belanja Listrik</v>
      </c>
      <c r="G56" s="590"/>
      <c r="H56" s="590"/>
      <c r="I56" s="590"/>
      <c r="J56" s="590"/>
      <c r="K56" s="590"/>
      <c r="L56" s="590"/>
      <c r="M56" s="498"/>
      <c r="N56" s="605">
        <f>'RAB 2.1.2 OKE'!R60</f>
        <v>660000</v>
      </c>
      <c r="O56" s="596"/>
      <c r="Q56" s="311">
        <f>N45+N78</f>
        <v>131213900</v>
      </c>
    </row>
    <row r="57" spans="1:17" s="242" customFormat="1" ht="15" customHeight="1">
      <c r="A57" s="497"/>
      <c r="B57" s="426"/>
      <c r="C57" s="426"/>
      <c r="D57" s="426"/>
      <c r="E57" s="600" t="s">
        <v>14</v>
      </c>
      <c r="F57" s="759" t="s">
        <v>152</v>
      </c>
      <c r="G57" s="759"/>
      <c r="H57" s="759"/>
      <c r="I57" s="759"/>
      <c r="J57" s="759"/>
      <c r="K57" s="759"/>
      <c r="L57" s="759"/>
      <c r="M57" s="498"/>
      <c r="N57" s="605">
        <f>'RAB 2.1.2 OKE'!R72</f>
        <v>600000</v>
      </c>
      <c r="O57" s="637"/>
      <c r="Q57" s="311">
        <f>N50+N70+N83+N88+N103+N117+N148</f>
        <v>113681649</v>
      </c>
    </row>
    <row r="58" spans="1:17" s="242" customFormat="1" ht="15" customHeight="1">
      <c r="A58" s="660"/>
      <c r="B58" s="664"/>
      <c r="C58" s="664"/>
      <c r="D58" s="664"/>
      <c r="E58" s="600" t="s">
        <v>14</v>
      </c>
      <c r="F58" s="759" t="s">
        <v>153</v>
      </c>
      <c r="G58" s="759"/>
      <c r="H58" s="759"/>
      <c r="I58" s="759"/>
      <c r="J58" s="759"/>
      <c r="K58" s="759"/>
      <c r="L58" s="759"/>
      <c r="M58" s="661"/>
      <c r="N58" s="605">
        <f>'RAB 2.1.2 OKE'!R75+'RAB 2.1.2 OKE'!R81</f>
        <v>28800000</v>
      </c>
      <c r="O58" s="637"/>
      <c r="Q58" s="311"/>
    </row>
    <row r="59" spans="1:17" s="242" customFormat="1" ht="15" customHeight="1">
      <c r="A59" s="660">
        <v>2</v>
      </c>
      <c r="B59" s="664">
        <v>1</v>
      </c>
      <c r="C59" s="664">
        <v>2</v>
      </c>
      <c r="D59" s="664">
        <v>3</v>
      </c>
      <c r="E59" s="667" t="s">
        <v>60</v>
      </c>
      <c r="F59" s="594"/>
      <c r="G59" s="594"/>
      <c r="H59" s="594"/>
      <c r="I59" s="594"/>
      <c r="J59" s="594"/>
      <c r="K59" s="594"/>
      <c r="L59" s="594"/>
      <c r="M59" s="661"/>
      <c r="N59" s="598">
        <f>N60</f>
        <v>20000000</v>
      </c>
      <c r="O59" s="637" t="s">
        <v>479</v>
      </c>
      <c r="Q59" s="311"/>
    </row>
    <row r="60" spans="1:17" s="242" customFormat="1" ht="15" customHeight="1">
      <c r="A60" s="497"/>
      <c r="B60" s="426"/>
      <c r="C60" s="426"/>
      <c r="D60" s="426"/>
      <c r="E60" s="600"/>
      <c r="F60" s="759" t="s">
        <v>567</v>
      </c>
      <c r="G60" s="759"/>
      <c r="H60" s="759"/>
      <c r="I60" s="759"/>
      <c r="J60" s="759"/>
      <c r="K60" s="759"/>
      <c r="L60" s="759"/>
      <c r="M60" s="498"/>
      <c r="N60" s="605">
        <f>'RAB 2.1.2 OKE'!R87</f>
        <v>20000000</v>
      </c>
      <c r="O60" s="596"/>
    </row>
    <row r="61" spans="1:17" s="242" customFormat="1" ht="15" customHeight="1">
      <c r="A61" s="451"/>
      <c r="B61" s="451"/>
      <c r="C61" s="451"/>
      <c r="D61" s="451"/>
      <c r="E61" s="641"/>
      <c r="F61" s="616"/>
      <c r="G61" s="616"/>
      <c r="H61" s="616"/>
      <c r="I61" s="616"/>
      <c r="J61" s="616"/>
      <c r="K61" s="616"/>
      <c r="L61" s="616"/>
      <c r="M61" s="451"/>
      <c r="N61" s="642"/>
      <c r="O61" s="650"/>
    </row>
    <row r="62" spans="1:17" s="242" customFormat="1" ht="15" customHeight="1">
      <c r="A62" s="286"/>
      <c r="B62" s="286"/>
      <c r="C62" s="286"/>
      <c r="D62" s="286"/>
      <c r="E62" s="644"/>
      <c r="F62" s="655"/>
      <c r="G62" s="655"/>
      <c r="H62" s="655"/>
      <c r="I62" s="655"/>
      <c r="J62" s="655"/>
      <c r="K62" s="655"/>
      <c r="L62" s="655"/>
      <c r="M62" s="286"/>
      <c r="N62" s="645"/>
      <c r="O62" s="651"/>
    </row>
    <row r="63" spans="1:17" s="242" customFormat="1" ht="15" customHeight="1">
      <c r="A63" s="286"/>
      <c r="B63" s="286"/>
      <c r="C63" s="286"/>
      <c r="D63" s="286"/>
      <c r="E63" s="644"/>
      <c r="F63" s="655"/>
      <c r="G63" s="655"/>
      <c r="H63" s="655"/>
      <c r="I63" s="655"/>
      <c r="J63" s="655"/>
      <c r="K63" s="655"/>
      <c r="L63" s="655"/>
      <c r="M63" s="286"/>
      <c r="N63" s="645"/>
      <c r="O63" s="651"/>
    </row>
    <row r="64" spans="1:17" s="242" customFormat="1" ht="15" customHeight="1">
      <c r="A64" s="286"/>
      <c r="B64" s="286"/>
      <c r="C64" s="286"/>
      <c r="D64" s="286"/>
      <c r="E64" s="644"/>
      <c r="F64" s="655"/>
      <c r="G64" s="655"/>
      <c r="H64" s="655"/>
      <c r="I64" s="655"/>
      <c r="J64" s="655"/>
      <c r="K64" s="655"/>
      <c r="L64" s="655"/>
      <c r="M64" s="286"/>
      <c r="N64" s="645"/>
      <c r="O64" s="651"/>
    </row>
    <row r="65" spans="1:15" s="242" customFormat="1" ht="15" customHeight="1">
      <c r="A65" s="286"/>
      <c r="B65" s="286"/>
      <c r="C65" s="286"/>
      <c r="D65" s="286"/>
      <c r="E65" s="644"/>
      <c r="F65" s="672"/>
      <c r="G65" s="672"/>
      <c r="H65" s="672"/>
      <c r="I65" s="672"/>
      <c r="J65" s="672"/>
      <c r="K65" s="672"/>
      <c r="L65" s="672"/>
      <c r="M65" s="286"/>
      <c r="N65" s="645"/>
      <c r="O65" s="651"/>
    </row>
    <row r="66" spans="1:15" s="242" customFormat="1" ht="15" customHeight="1">
      <c r="A66" s="286"/>
      <c r="B66" s="286"/>
      <c r="C66" s="286"/>
      <c r="D66" s="286"/>
      <c r="E66" s="644"/>
      <c r="F66" s="672"/>
      <c r="G66" s="672"/>
      <c r="H66" s="672"/>
      <c r="I66" s="672"/>
      <c r="J66" s="672"/>
      <c r="K66" s="672"/>
      <c r="L66" s="672"/>
      <c r="M66" s="286"/>
      <c r="N66" s="645"/>
      <c r="O66" s="651"/>
    </row>
    <row r="67" spans="1:15" s="242" customFormat="1" ht="15" customHeight="1">
      <c r="A67" s="286"/>
      <c r="B67" s="286"/>
      <c r="C67" s="286"/>
      <c r="D67" s="286"/>
      <c r="E67" s="644"/>
      <c r="F67" s="655"/>
      <c r="G67" s="655"/>
      <c r="H67" s="655"/>
      <c r="I67" s="655"/>
      <c r="J67" s="655"/>
      <c r="K67" s="655"/>
      <c r="L67" s="655"/>
      <c r="M67" s="286"/>
      <c r="N67" s="645"/>
      <c r="O67" s="651"/>
    </row>
    <row r="68" spans="1:15" s="242" customFormat="1" ht="15" customHeight="1">
      <c r="A68" s="670"/>
      <c r="B68" s="670"/>
      <c r="C68" s="670"/>
      <c r="D68" s="670"/>
      <c r="E68" s="647"/>
      <c r="F68" s="617"/>
      <c r="G68" s="617"/>
      <c r="H68" s="617"/>
      <c r="I68" s="617"/>
      <c r="J68" s="617"/>
      <c r="K68" s="617"/>
      <c r="L68" s="617"/>
      <c r="M68" s="670"/>
      <c r="N68" s="648"/>
      <c r="O68" s="676"/>
    </row>
    <row r="69" spans="1:15" s="242" customFormat="1" ht="15" customHeight="1">
      <c r="A69" s="497">
        <v>2</v>
      </c>
      <c r="B69" s="426">
        <v>1</v>
      </c>
      <c r="C69" s="426">
        <v>3</v>
      </c>
      <c r="D69" s="426"/>
      <c r="E69" s="607" t="s">
        <v>85</v>
      </c>
      <c r="F69" s="590"/>
      <c r="G69" s="590"/>
      <c r="H69" s="590"/>
      <c r="I69" s="590"/>
      <c r="J69" s="590"/>
      <c r="K69" s="590"/>
      <c r="L69" s="590"/>
      <c r="M69" s="498"/>
      <c r="N69" s="598">
        <f>SUM(N70)</f>
        <v>3529500</v>
      </c>
      <c r="O69" s="637" t="s">
        <v>288</v>
      </c>
    </row>
    <row r="70" spans="1:15" s="242" customFormat="1" ht="15" customHeight="1">
      <c r="A70" s="497">
        <v>2</v>
      </c>
      <c r="B70" s="426">
        <v>1</v>
      </c>
      <c r="C70" s="426">
        <v>3</v>
      </c>
      <c r="D70" s="426">
        <v>2</v>
      </c>
      <c r="E70" s="758" t="s">
        <v>29</v>
      </c>
      <c r="F70" s="759"/>
      <c r="G70" s="759"/>
      <c r="H70" s="759"/>
      <c r="I70" s="759"/>
      <c r="J70" s="759"/>
      <c r="K70" s="759"/>
      <c r="L70" s="759"/>
      <c r="M70" s="498"/>
      <c r="N70" s="598">
        <f>SUM(N71:N74)</f>
        <v>3529500</v>
      </c>
      <c r="O70" s="636"/>
    </row>
    <row r="71" spans="1:15" s="242" customFormat="1" ht="15" customHeight="1">
      <c r="A71" s="497"/>
      <c r="B71" s="426"/>
      <c r="C71" s="426"/>
      <c r="D71" s="426"/>
      <c r="E71" s="600" t="s">
        <v>14</v>
      </c>
      <c r="F71" s="759" t="s">
        <v>171</v>
      </c>
      <c r="G71" s="759"/>
      <c r="H71" s="759"/>
      <c r="I71" s="759"/>
      <c r="J71" s="759"/>
      <c r="K71" s="759"/>
      <c r="L71" s="759"/>
      <c r="M71" s="498"/>
      <c r="N71" s="605">
        <f>'RAB 2.1.3  OKE'!O16</f>
        <v>2400000</v>
      </c>
      <c r="O71" s="636"/>
    </row>
    <row r="72" spans="1:15" s="242" customFormat="1" ht="15" customHeight="1">
      <c r="A72" s="497"/>
      <c r="B72" s="426"/>
      <c r="C72" s="426"/>
      <c r="D72" s="426"/>
      <c r="E72" s="600" t="s">
        <v>14</v>
      </c>
      <c r="F72" s="759" t="s">
        <v>154</v>
      </c>
      <c r="G72" s="759"/>
      <c r="H72" s="759"/>
      <c r="I72" s="759"/>
      <c r="J72" s="759"/>
      <c r="K72" s="759"/>
      <c r="L72" s="759"/>
      <c r="M72" s="498"/>
      <c r="N72" s="605">
        <f>'RAB 2.1.3  OKE'!O22</f>
        <v>294500</v>
      </c>
      <c r="O72" s="637"/>
    </row>
    <row r="73" spans="1:15" s="242" customFormat="1" ht="15" customHeight="1">
      <c r="A73" s="497"/>
      <c r="B73" s="426"/>
      <c r="C73" s="426"/>
      <c r="D73" s="426"/>
      <c r="E73" s="600" t="s">
        <v>14</v>
      </c>
      <c r="F73" s="759" t="s">
        <v>68</v>
      </c>
      <c r="G73" s="759"/>
      <c r="H73" s="759"/>
      <c r="I73" s="759"/>
      <c r="J73" s="759"/>
      <c r="K73" s="759"/>
      <c r="L73" s="759"/>
      <c r="M73" s="498"/>
      <c r="N73" s="605">
        <f>'RAB 2.1.3  OKE'!O33</f>
        <v>100000</v>
      </c>
      <c r="O73" s="637"/>
    </row>
    <row r="74" spans="1:15" s="242" customFormat="1" ht="15" customHeight="1">
      <c r="A74" s="497"/>
      <c r="B74" s="426"/>
      <c r="C74" s="426"/>
      <c r="D74" s="426"/>
      <c r="E74" s="600" t="s">
        <v>14</v>
      </c>
      <c r="F74" s="759" t="s">
        <v>70</v>
      </c>
      <c r="G74" s="759"/>
      <c r="H74" s="759"/>
      <c r="I74" s="759"/>
      <c r="J74" s="759"/>
      <c r="K74" s="759"/>
      <c r="L74" s="759"/>
      <c r="M74" s="592"/>
      <c r="N74" s="605">
        <f>'RAB 2.1.3  OKE'!O29</f>
        <v>735000</v>
      </c>
      <c r="O74" s="636"/>
    </row>
    <row r="75" spans="1:15" s="242" customFormat="1" ht="15" customHeight="1">
      <c r="A75" s="497"/>
      <c r="B75" s="426"/>
      <c r="C75" s="426"/>
      <c r="D75" s="426"/>
      <c r="E75" s="600" t="s">
        <v>14</v>
      </c>
      <c r="F75" s="759" t="s">
        <v>40</v>
      </c>
      <c r="G75" s="759"/>
      <c r="H75" s="759"/>
      <c r="I75" s="759"/>
      <c r="J75" s="759"/>
      <c r="K75" s="759"/>
      <c r="L75" s="759"/>
      <c r="M75" s="498"/>
      <c r="N75" s="605">
        <v>0</v>
      </c>
      <c r="O75" s="637"/>
    </row>
    <row r="76" spans="1:15" s="242" customFormat="1" ht="15" customHeight="1">
      <c r="A76" s="497"/>
      <c r="B76" s="426"/>
      <c r="C76" s="426"/>
      <c r="D76" s="426"/>
      <c r="E76" s="600"/>
      <c r="F76" s="590"/>
      <c r="G76" s="590"/>
      <c r="H76" s="590"/>
      <c r="I76" s="590"/>
      <c r="J76" s="590"/>
      <c r="K76" s="590"/>
      <c r="L76" s="590"/>
      <c r="M76" s="498"/>
      <c r="N76" s="605"/>
      <c r="O76" s="637"/>
    </row>
    <row r="77" spans="1:15" s="242" customFormat="1" ht="15" customHeight="1">
      <c r="A77" s="497">
        <v>2</v>
      </c>
      <c r="B77" s="426">
        <v>1</v>
      </c>
      <c r="C77" s="426">
        <v>4</v>
      </c>
      <c r="D77" s="426"/>
      <c r="E77" s="607" t="s">
        <v>227</v>
      </c>
      <c r="F77" s="590"/>
      <c r="G77" s="590"/>
      <c r="H77" s="590"/>
      <c r="I77" s="590"/>
      <c r="J77" s="590"/>
      <c r="K77" s="590"/>
      <c r="L77" s="590"/>
      <c r="M77" s="498"/>
      <c r="N77" s="598">
        <f>SUM(N78)</f>
        <v>13440000</v>
      </c>
      <c r="O77" s="637" t="s">
        <v>288</v>
      </c>
    </row>
    <row r="78" spans="1:15" s="242" customFormat="1" ht="15" customHeight="1">
      <c r="A78" s="497">
        <v>2</v>
      </c>
      <c r="B78" s="426">
        <v>1</v>
      </c>
      <c r="C78" s="426">
        <v>4</v>
      </c>
      <c r="D78" s="426">
        <v>2</v>
      </c>
      <c r="E78" s="758" t="s">
        <v>29</v>
      </c>
      <c r="F78" s="759"/>
      <c r="G78" s="759"/>
      <c r="H78" s="759"/>
      <c r="I78" s="759"/>
      <c r="J78" s="759"/>
      <c r="K78" s="759"/>
      <c r="L78" s="759"/>
      <c r="M78" s="498"/>
      <c r="N78" s="598">
        <f>SUM(N80:N81)</f>
        <v>13440000</v>
      </c>
      <c r="O78" s="637"/>
    </row>
    <row r="79" spans="1:15" s="242" customFormat="1" ht="15" customHeight="1">
      <c r="A79" s="497"/>
      <c r="B79" s="426"/>
      <c r="C79" s="426"/>
      <c r="D79" s="426"/>
      <c r="E79" s="600" t="s">
        <v>14</v>
      </c>
      <c r="F79" s="759" t="s">
        <v>268</v>
      </c>
      <c r="G79" s="759"/>
      <c r="H79" s="759"/>
      <c r="I79" s="759"/>
      <c r="J79" s="759"/>
      <c r="K79" s="759"/>
      <c r="L79" s="759"/>
      <c r="M79" s="498"/>
      <c r="N79" s="598"/>
      <c r="O79" s="637"/>
    </row>
    <row r="80" spans="1:15" s="242" customFormat="1" ht="15" customHeight="1">
      <c r="A80" s="497"/>
      <c r="B80" s="426"/>
      <c r="C80" s="426"/>
      <c r="D80" s="426"/>
      <c r="E80" s="600"/>
      <c r="F80" s="767" t="s">
        <v>263</v>
      </c>
      <c r="G80" s="759"/>
      <c r="H80" s="759"/>
      <c r="I80" s="759"/>
      <c r="J80" s="759"/>
      <c r="K80" s="759"/>
      <c r="L80" s="759"/>
      <c r="M80" s="498"/>
      <c r="N80" s="605">
        <f>'RAB 2.1.4  OKE'!O17</f>
        <v>4800000</v>
      </c>
      <c r="O80" s="637"/>
    </row>
    <row r="81" spans="1:17" s="242" customFormat="1" ht="15" customHeight="1">
      <c r="A81" s="497"/>
      <c r="B81" s="426"/>
      <c r="C81" s="426"/>
      <c r="D81" s="426"/>
      <c r="E81" s="600"/>
      <c r="F81" s="609" t="s">
        <v>264</v>
      </c>
      <c r="G81" s="590"/>
      <c r="H81" s="590"/>
      <c r="I81" s="590"/>
      <c r="J81" s="590"/>
      <c r="K81" s="590"/>
      <c r="L81" s="590"/>
      <c r="M81" s="498"/>
      <c r="N81" s="605">
        <f>'RAB 2.1.4  OKE'!O18</f>
        <v>8640000</v>
      </c>
      <c r="O81" s="637"/>
    </row>
    <row r="82" spans="1:17" s="242" customFormat="1" ht="15" customHeight="1">
      <c r="A82" s="497">
        <v>2</v>
      </c>
      <c r="B82" s="426">
        <v>1</v>
      </c>
      <c r="C82" s="426">
        <v>5</v>
      </c>
      <c r="D82" s="426"/>
      <c r="E82" s="593" t="s">
        <v>283</v>
      </c>
      <c r="F82" s="594"/>
      <c r="G82" s="594"/>
      <c r="H82" s="427"/>
      <c r="I82" s="427"/>
      <c r="J82" s="427"/>
      <c r="K82" s="427"/>
      <c r="L82" s="427"/>
      <c r="M82" s="498"/>
      <c r="N82" s="598">
        <f>SUM(N83)</f>
        <v>10913649</v>
      </c>
      <c r="O82" s="637" t="s">
        <v>289</v>
      </c>
    </row>
    <row r="83" spans="1:17" s="242" customFormat="1" ht="15" customHeight="1">
      <c r="A83" s="497">
        <v>2</v>
      </c>
      <c r="B83" s="426">
        <v>1</v>
      </c>
      <c r="C83" s="426">
        <v>5</v>
      </c>
      <c r="D83" s="426">
        <v>2</v>
      </c>
      <c r="E83" s="758" t="s">
        <v>29</v>
      </c>
      <c r="F83" s="759"/>
      <c r="G83" s="759"/>
      <c r="H83" s="427"/>
      <c r="I83" s="427"/>
      <c r="J83" s="427"/>
      <c r="K83" s="427"/>
      <c r="L83" s="590"/>
      <c r="M83" s="606"/>
      <c r="N83" s="598">
        <f>SUM(N84:N84)+N85</f>
        <v>10913649</v>
      </c>
      <c r="O83" s="637"/>
    </row>
    <row r="84" spans="1:17" s="242" customFormat="1" ht="15" customHeight="1">
      <c r="A84" s="497"/>
      <c r="B84" s="426"/>
      <c r="C84" s="426"/>
      <c r="D84" s="426"/>
      <c r="E84" s="600" t="s">
        <v>14</v>
      </c>
      <c r="F84" s="759" t="s">
        <v>215</v>
      </c>
      <c r="G84" s="759"/>
      <c r="H84" s="610"/>
      <c r="I84" s="427"/>
      <c r="J84" s="427"/>
      <c r="K84" s="427"/>
      <c r="L84" s="427"/>
      <c r="M84" s="498"/>
      <c r="N84" s="605">
        <f>'RAB 2.1.5 OKE '!P17</f>
        <v>10913649</v>
      </c>
      <c r="O84" s="637"/>
    </row>
    <row r="85" spans="1:17" s="242" customFormat="1" ht="15" customHeight="1">
      <c r="A85" s="497"/>
      <c r="B85" s="426"/>
      <c r="C85" s="426"/>
      <c r="D85" s="426"/>
      <c r="E85" s="600" t="s">
        <v>14</v>
      </c>
      <c r="F85" s="590" t="s">
        <v>269</v>
      </c>
      <c r="G85" s="590"/>
      <c r="H85" s="610"/>
      <c r="I85" s="427"/>
      <c r="J85" s="427"/>
      <c r="K85" s="427"/>
      <c r="L85" s="427"/>
      <c r="M85" s="498"/>
      <c r="N85" s="605">
        <f>'RAB 2.1.5 OKE '!P19</f>
        <v>0</v>
      </c>
      <c r="O85" s="637"/>
    </row>
    <row r="86" spans="1:17" s="242" customFormat="1" ht="15" customHeight="1">
      <c r="A86" s="497"/>
      <c r="B86" s="426"/>
      <c r="C86" s="426"/>
      <c r="D86" s="426"/>
      <c r="E86" s="600"/>
      <c r="F86" s="590"/>
      <c r="G86" s="590"/>
      <c r="H86" s="610"/>
      <c r="I86" s="427"/>
      <c r="J86" s="427"/>
      <c r="K86" s="427"/>
      <c r="L86" s="427"/>
      <c r="M86" s="498"/>
      <c r="N86" s="605"/>
      <c r="O86" s="637"/>
    </row>
    <row r="87" spans="1:17" s="242" customFormat="1" ht="15" customHeight="1">
      <c r="A87" s="497">
        <v>2</v>
      </c>
      <c r="B87" s="426">
        <v>1</v>
      </c>
      <c r="C87" s="426">
        <v>8</v>
      </c>
      <c r="D87" s="426"/>
      <c r="E87" s="593" t="s">
        <v>433</v>
      </c>
      <c r="F87" s="594"/>
      <c r="G87" s="594"/>
      <c r="H87" s="427"/>
      <c r="I87" s="427"/>
      <c r="J87" s="427"/>
      <c r="K87" s="427"/>
      <c r="L87" s="427"/>
      <c r="M87" s="498"/>
      <c r="N87" s="598">
        <f>N88+N94</f>
        <v>11614574</v>
      </c>
      <c r="O87" s="637" t="s">
        <v>288</v>
      </c>
    </row>
    <row r="88" spans="1:17" s="242" customFormat="1" ht="15" customHeight="1">
      <c r="A88" s="497">
        <v>2</v>
      </c>
      <c r="B88" s="426">
        <v>1</v>
      </c>
      <c r="C88" s="426">
        <v>8</v>
      </c>
      <c r="D88" s="426">
        <v>2</v>
      </c>
      <c r="E88" s="758" t="s">
        <v>29</v>
      </c>
      <c r="F88" s="759"/>
      <c r="G88" s="759"/>
      <c r="H88" s="427"/>
      <c r="I88" s="427"/>
      <c r="J88" s="427"/>
      <c r="K88" s="427"/>
      <c r="L88" s="590"/>
      <c r="M88" s="606"/>
      <c r="N88" s="598">
        <f>SUM(N89:N92)</f>
        <v>11198000</v>
      </c>
      <c r="O88" s="637"/>
    </row>
    <row r="89" spans="1:17" s="242" customFormat="1" ht="15" customHeight="1">
      <c r="A89" s="497"/>
      <c r="B89" s="426"/>
      <c r="C89" s="426"/>
      <c r="D89" s="426"/>
      <c r="E89" s="600" t="s">
        <v>14</v>
      </c>
      <c r="F89" s="759" t="str">
        <f>'RAB 2.1.8'!I17</f>
        <v>Honor Pendata</v>
      </c>
      <c r="G89" s="759"/>
      <c r="H89" s="610"/>
      <c r="I89" s="427"/>
      <c r="J89" s="427"/>
      <c r="K89" s="427"/>
      <c r="L89" s="427"/>
      <c r="M89" s="498"/>
      <c r="N89" s="605">
        <f>'RAB 2.1.8'!S18</f>
        <v>5000000</v>
      </c>
      <c r="O89" s="637"/>
    </row>
    <row r="90" spans="1:17" s="242" customFormat="1" ht="15" customHeight="1">
      <c r="A90" s="497"/>
      <c r="B90" s="426"/>
      <c r="C90" s="426"/>
      <c r="D90" s="426"/>
      <c r="E90" s="600" t="s">
        <v>14</v>
      </c>
      <c r="F90" s="590" t="str">
        <f>'RAB 2.1.8'!I19</f>
        <v>- Operator</v>
      </c>
      <c r="G90" s="590"/>
      <c r="H90" s="610"/>
      <c r="I90" s="427"/>
      <c r="J90" s="427"/>
      <c r="K90" s="427"/>
      <c r="L90" s="427"/>
      <c r="M90" s="498"/>
      <c r="N90" s="605">
        <f>'RAB 2.1.8'!S19</f>
        <v>3000000</v>
      </c>
      <c r="O90" s="637"/>
    </row>
    <row r="91" spans="1:17" s="242" customFormat="1" ht="15" customHeight="1">
      <c r="A91" s="497"/>
      <c r="B91" s="426"/>
      <c r="C91" s="426"/>
      <c r="D91" s="426"/>
      <c r="E91" s="600" t="s">
        <v>14</v>
      </c>
      <c r="F91" s="590" t="s">
        <v>269</v>
      </c>
      <c r="G91" s="590"/>
      <c r="H91" s="610"/>
      <c r="I91" s="427"/>
      <c r="J91" s="427"/>
      <c r="K91" s="427"/>
      <c r="L91" s="427"/>
      <c r="M91" s="498"/>
      <c r="N91" s="605">
        <f>'RAB 2.1.8'!S21</f>
        <v>48000</v>
      </c>
      <c r="O91" s="637"/>
    </row>
    <row r="92" spans="1:17" s="242" customFormat="1" ht="15" customHeight="1">
      <c r="A92" s="497"/>
      <c r="B92" s="426"/>
      <c r="C92" s="426"/>
      <c r="D92" s="426"/>
      <c r="E92" s="600" t="s">
        <v>14</v>
      </c>
      <c r="F92" s="590" t="str">
        <f>'RAB 2.1.8'!I25</f>
        <v>Penggandaan</v>
      </c>
      <c r="G92" s="590"/>
      <c r="H92" s="610"/>
      <c r="I92" s="427"/>
      <c r="J92" s="427"/>
      <c r="K92" s="427"/>
      <c r="L92" s="427"/>
      <c r="M92" s="498"/>
      <c r="N92" s="605">
        <f>'RAB 2.1.8'!S25</f>
        <v>3150000</v>
      </c>
      <c r="O92" s="637"/>
    </row>
    <row r="93" spans="1:17" s="242" customFormat="1" ht="15" customHeight="1">
      <c r="A93" s="497"/>
      <c r="B93" s="426"/>
      <c r="C93" s="426"/>
      <c r="D93" s="426"/>
      <c r="E93" s="600"/>
      <c r="F93" s="590"/>
      <c r="G93" s="590"/>
      <c r="H93" s="610"/>
      <c r="I93" s="427"/>
      <c r="J93" s="427"/>
      <c r="K93" s="427"/>
      <c r="L93" s="427"/>
      <c r="M93" s="498"/>
      <c r="N93" s="605"/>
      <c r="O93" s="637"/>
    </row>
    <row r="94" spans="1:17" s="242" customFormat="1" ht="15" customHeight="1">
      <c r="A94" s="497">
        <v>2</v>
      </c>
      <c r="B94" s="426">
        <v>1</v>
      </c>
      <c r="C94" s="426">
        <v>8</v>
      </c>
      <c r="D94" s="426">
        <v>3</v>
      </c>
      <c r="E94" s="607" t="s">
        <v>60</v>
      </c>
      <c r="F94" s="590"/>
      <c r="G94" s="590"/>
      <c r="H94" s="610"/>
      <c r="I94" s="427"/>
      <c r="J94" s="427"/>
      <c r="K94" s="427"/>
      <c r="L94" s="427"/>
      <c r="M94" s="498"/>
      <c r="N94" s="598">
        <f>N95</f>
        <v>416574</v>
      </c>
      <c r="O94" s="637"/>
    </row>
    <row r="95" spans="1:17" s="242" customFormat="1" ht="15" customHeight="1">
      <c r="A95" s="497"/>
      <c r="B95" s="426"/>
      <c r="C95" s="426"/>
      <c r="D95" s="426"/>
      <c r="E95" s="600"/>
      <c r="F95" s="590" t="str">
        <f>'RAB 2.1.8'!I29</f>
        <v>- Modem + Kartu</v>
      </c>
      <c r="G95" s="590"/>
      <c r="H95" s="610"/>
      <c r="I95" s="427"/>
      <c r="J95" s="427"/>
      <c r="K95" s="427"/>
      <c r="L95" s="427"/>
      <c r="M95" s="498"/>
      <c r="N95" s="605">
        <f>'RAB 2.1.8'!S29</f>
        <v>416574</v>
      </c>
      <c r="O95" s="637"/>
    </row>
    <row r="96" spans="1:17" s="242" customFormat="1" ht="15" customHeight="1">
      <c r="A96" s="497"/>
      <c r="B96" s="426"/>
      <c r="C96" s="426"/>
      <c r="D96" s="426"/>
      <c r="E96" s="600"/>
      <c r="F96" s="590"/>
      <c r="G96" s="590"/>
      <c r="H96" s="610"/>
      <c r="I96" s="427"/>
      <c r="J96" s="427"/>
      <c r="K96" s="427"/>
      <c r="L96" s="427"/>
      <c r="M96" s="498"/>
      <c r="N96" s="605"/>
      <c r="O96" s="637"/>
      <c r="Q96" s="311">
        <f>N94+N97</f>
        <v>5416574</v>
      </c>
    </row>
    <row r="97" spans="1:15" s="242" customFormat="1" ht="15" customHeight="1">
      <c r="A97" s="497">
        <v>2</v>
      </c>
      <c r="B97" s="426">
        <v>1</v>
      </c>
      <c r="C97" s="426">
        <v>9</v>
      </c>
      <c r="D97" s="426"/>
      <c r="E97" s="593" t="s">
        <v>449</v>
      </c>
      <c r="F97" s="590"/>
      <c r="G97" s="590"/>
      <c r="H97" s="610"/>
      <c r="I97" s="427"/>
      <c r="J97" s="427"/>
      <c r="K97" s="427"/>
      <c r="L97" s="427"/>
      <c r="M97" s="498"/>
      <c r="N97" s="598">
        <f>N98</f>
        <v>5000000</v>
      </c>
      <c r="O97" s="637" t="s">
        <v>288</v>
      </c>
    </row>
    <row r="98" spans="1:15" s="242" customFormat="1" ht="15" customHeight="1">
      <c r="A98" s="497">
        <v>2</v>
      </c>
      <c r="B98" s="426">
        <v>1</v>
      </c>
      <c r="C98" s="426">
        <v>9</v>
      </c>
      <c r="D98" s="426">
        <v>3</v>
      </c>
      <c r="E98" s="600" t="s">
        <v>14</v>
      </c>
      <c r="F98" s="590" t="s">
        <v>60</v>
      </c>
      <c r="G98" s="590"/>
      <c r="H98" s="610"/>
      <c r="I98" s="427"/>
      <c r="J98" s="427"/>
      <c r="K98" s="427"/>
      <c r="L98" s="427"/>
      <c r="M98" s="498"/>
      <c r="N98" s="605">
        <f>N99</f>
        <v>5000000</v>
      </c>
      <c r="O98" s="637"/>
    </row>
    <row r="99" spans="1:15" s="242" customFormat="1" ht="15" customHeight="1">
      <c r="A99" s="497"/>
      <c r="B99" s="426"/>
      <c r="C99" s="426"/>
      <c r="D99" s="426"/>
      <c r="E99" s="600"/>
      <c r="F99" s="590" t="s">
        <v>500</v>
      </c>
      <c r="G99" s="590"/>
      <c r="H99" s="610"/>
      <c r="I99" s="427"/>
      <c r="J99" s="427"/>
      <c r="K99" s="427"/>
      <c r="L99" s="427"/>
      <c r="M99" s="498"/>
      <c r="N99" s="605">
        <f>'RAB 2.1.9 OKE '!P16</f>
        <v>5000000</v>
      </c>
      <c r="O99" s="637"/>
    </row>
    <row r="100" spans="1:15" s="242" customFormat="1" ht="15" customHeight="1">
      <c r="A100" s="497"/>
      <c r="B100" s="426"/>
      <c r="C100" s="426"/>
      <c r="D100" s="426"/>
      <c r="E100" s="600"/>
      <c r="F100" s="590"/>
      <c r="G100" s="590"/>
      <c r="H100" s="610"/>
      <c r="I100" s="427"/>
      <c r="J100" s="427"/>
      <c r="K100" s="427"/>
      <c r="L100" s="427"/>
      <c r="M100" s="498"/>
      <c r="N100" s="605"/>
      <c r="O100" s="637"/>
    </row>
    <row r="101" spans="1:15" s="242" customFormat="1" ht="15" customHeight="1">
      <c r="A101" s="497"/>
      <c r="B101" s="426"/>
      <c r="C101" s="426"/>
      <c r="D101" s="426"/>
      <c r="E101" s="600"/>
      <c r="F101" s="590"/>
      <c r="G101" s="590"/>
      <c r="H101" s="610"/>
      <c r="I101" s="427"/>
      <c r="J101" s="427"/>
      <c r="K101" s="427"/>
      <c r="L101" s="427"/>
      <c r="M101" s="498"/>
      <c r="N101" s="605"/>
      <c r="O101" s="637"/>
    </row>
    <row r="102" spans="1:15" s="242" customFormat="1" ht="15" customHeight="1">
      <c r="A102" s="497">
        <v>2</v>
      </c>
      <c r="B102" s="426">
        <v>1</v>
      </c>
      <c r="C102" s="426">
        <v>10</v>
      </c>
      <c r="D102" s="426"/>
      <c r="E102" s="607" t="s">
        <v>205</v>
      </c>
      <c r="F102" s="590"/>
      <c r="G102" s="590"/>
      <c r="H102" s="427"/>
      <c r="I102" s="427"/>
      <c r="J102" s="427"/>
      <c r="K102" s="427"/>
      <c r="L102" s="427"/>
      <c r="M102" s="498"/>
      <c r="N102" s="598">
        <f>N103</f>
        <v>2976500</v>
      </c>
      <c r="O102" s="637" t="s">
        <v>480</v>
      </c>
    </row>
    <row r="103" spans="1:15" s="242" customFormat="1" ht="15" customHeight="1">
      <c r="A103" s="497">
        <v>2</v>
      </c>
      <c r="B103" s="426">
        <v>1</v>
      </c>
      <c r="C103" s="426">
        <v>10</v>
      </c>
      <c r="D103" s="426">
        <v>2</v>
      </c>
      <c r="E103" s="758" t="s">
        <v>29</v>
      </c>
      <c r="F103" s="759"/>
      <c r="G103" s="759"/>
      <c r="H103" s="427"/>
      <c r="I103" s="427"/>
      <c r="J103" s="427"/>
      <c r="K103" s="427"/>
      <c r="L103" s="427"/>
      <c r="M103" s="498"/>
      <c r="N103" s="605">
        <f>SUM(N104:N107)</f>
        <v>2976500</v>
      </c>
      <c r="O103" s="637"/>
    </row>
    <row r="104" spans="1:15" s="242" customFormat="1" ht="15" customHeight="1">
      <c r="A104" s="497"/>
      <c r="B104" s="426"/>
      <c r="C104" s="426"/>
      <c r="D104" s="426"/>
      <c r="E104" s="589" t="s">
        <v>14</v>
      </c>
      <c r="F104" s="590" t="s">
        <v>204</v>
      </c>
      <c r="G104" s="590"/>
      <c r="H104" s="427"/>
      <c r="I104" s="427"/>
      <c r="J104" s="427"/>
      <c r="K104" s="427"/>
      <c r="L104" s="427"/>
      <c r="M104" s="498"/>
      <c r="N104" s="605">
        <f>'RAB 2.1.10'!Q17</f>
        <v>1300000</v>
      </c>
      <c r="O104" s="637"/>
    </row>
    <row r="105" spans="1:15" s="242" customFormat="1" ht="15" customHeight="1">
      <c r="A105" s="497"/>
      <c r="B105" s="426"/>
      <c r="C105" s="426"/>
      <c r="D105" s="426"/>
      <c r="E105" s="589" t="s">
        <v>14</v>
      </c>
      <c r="F105" s="590" t="s">
        <v>51</v>
      </c>
      <c r="G105" s="590"/>
      <c r="H105" s="427"/>
      <c r="I105" s="427"/>
      <c r="J105" s="427"/>
      <c r="K105" s="427"/>
      <c r="L105" s="427"/>
      <c r="M105" s="498"/>
      <c r="N105" s="605">
        <f>'RAB 2.1.10'!Q22</f>
        <v>1575000</v>
      </c>
      <c r="O105" s="637"/>
    </row>
    <row r="106" spans="1:15" s="242" customFormat="1" ht="15" customHeight="1">
      <c r="A106" s="497"/>
      <c r="B106" s="426"/>
      <c r="C106" s="426"/>
      <c r="D106" s="426"/>
      <c r="E106" s="600" t="s">
        <v>14</v>
      </c>
      <c r="F106" s="759" t="s">
        <v>77</v>
      </c>
      <c r="G106" s="759"/>
      <c r="H106" s="427"/>
      <c r="I106" s="427"/>
      <c r="J106" s="427"/>
      <c r="K106" s="427"/>
      <c r="L106" s="427"/>
      <c r="M106" s="498"/>
      <c r="N106" s="605">
        <f>'RAB 2.1.10'!Q26</f>
        <v>86500</v>
      </c>
      <c r="O106" s="637"/>
    </row>
    <row r="107" spans="1:15" s="242" customFormat="1" ht="15" customHeight="1">
      <c r="A107" s="497"/>
      <c r="B107" s="426"/>
      <c r="C107" s="426"/>
      <c r="D107" s="426"/>
      <c r="E107" s="600" t="s">
        <v>14</v>
      </c>
      <c r="F107" s="759" t="s">
        <v>178</v>
      </c>
      <c r="G107" s="759"/>
      <c r="H107" s="427"/>
      <c r="I107" s="427"/>
      <c r="J107" s="427"/>
      <c r="K107" s="427"/>
      <c r="L107" s="427"/>
      <c r="M107" s="498"/>
      <c r="N107" s="605">
        <f>'RAB 2.1.10'!Q31</f>
        <v>15000</v>
      </c>
      <c r="O107" s="637"/>
    </row>
    <row r="108" spans="1:15" s="242" customFormat="1" ht="15" customHeight="1">
      <c r="A108" s="482"/>
      <c r="B108" s="513"/>
      <c r="C108" s="513"/>
      <c r="D108" s="513"/>
      <c r="E108" s="603"/>
      <c r="F108" s="604"/>
      <c r="G108" s="604"/>
      <c r="H108" s="483"/>
      <c r="I108" s="483"/>
      <c r="J108" s="483"/>
      <c r="K108" s="483"/>
      <c r="L108" s="483"/>
      <c r="M108" s="484"/>
      <c r="N108" s="598"/>
      <c r="O108" s="637"/>
    </row>
    <row r="109" spans="1:15" s="242" customFormat="1" ht="15" customHeight="1">
      <c r="A109" s="497">
        <v>2</v>
      </c>
      <c r="B109" s="426">
        <v>1</v>
      </c>
      <c r="C109" s="426">
        <v>12</v>
      </c>
      <c r="D109" s="426"/>
      <c r="E109" s="607" t="s">
        <v>498</v>
      </c>
      <c r="F109" s="590"/>
      <c r="G109" s="590"/>
      <c r="H109" s="427"/>
      <c r="I109" s="427"/>
      <c r="J109" s="427"/>
      <c r="K109" s="427"/>
      <c r="L109" s="427"/>
      <c r="M109" s="498"/>
      <c r="N109" s="598">
        <f>N110</f>
        <v>2499000</v>
      </c>
      <c r="O109" s="637" t="s">
        <v>484</v>
      </c>
    </row>
    <row r="110" spans="1:15" s="242" customFormat="1" ht="15" customHeight="1">
      <c r="A110" s="497">
        <v>2</v>
      </c>
      <c r="B110" s="426">
        <v>1</v>
      </c>
      <c r="C110" s="426">
        <v>12</v>
      </c>
      <c r="D110" s="426">
        <v>2</v>
      </c>
      <c r="E110" s="758" t="s">
        <v>29</v>
      </c>
      <c r="F110" s="759"/>
      <c r="G110" s="759"/>
      <c r="H110" s="427"/>
      <c r="I110" s="427"/>
      <c r="J110" s="427"/>
      <c r="K110" s="427"/>
      <c r="L110" s="427"/>
      <c r="M110" s="498"/>
      <c r="N110" s="598">
        <f>SUM(N111:N114)</f>
        <v>2499000</v>
      </c>
      <c r="O110" s="637"/>
    </row>
    <row r="111" spans="1:15" s="242" customFormat="1" ht="15" customHeight="1">
      <c r="A111" s="497"/>
      <c r="B111" s="426"/>
      <c r="C111" s="426"/>
      <c r="D111" s="426"/>
      <c r="E111" s="589" t="s">
        <v>14</v>
      </c>
      <c r="F111" s="590" t="s">
        <v>204</v>
      </c>
      <c r="G111" s="590"/>
      <c r="H111" s="427"/>
      <c r="I111" s="427"/>
      <c r="J111" s="427"/>
      <c r="K111" s="427"/>
      <c r="L111" s="427"/>
      <c r="M111" s="498"/>
      <c r="N111" s="605">
        <f>'RAB 2.1.12'!Q17</f>
        <v>2275000</v>
      </c>
      <c r="O111" s="637"/>
    </row>
    <row r="112" spans="1:15" s="242" customFormat="1" ht="15" customHeight="1">
      <c r="A112" s="497"/>
      <c r="B112" s="426"/>
      <c r="C112" s="426"/>
      <c r="D112" s="426"/>
      <c r="E112" s="589" t="s">
        <v>14</v>
      </c>
      <c r="F112" s="590" t="s">
        <v>51</v>
      </c>
      <c r="G112" s="590"/>
      <c r="H112" s="427"/>
      <c r="I112" s="427"/>
      <c r="J112" s="427"/>
      <c r="K112" s="427"/>
      <c r="L112" s="427"/>
      <c r="M112" s="498"/>
      <c r="N112" s="598">
        <v>0</v>
      </c>
      <c r="O112" s="637"/>
    </row>
    <row r="113" spans="1:15" s="242" customFormat="1" ht="15" customHeight="1">
      <c r="A113" s="497"/>
      <c r="B113" s="426"/>
      <c r="C113" s="426"/>
      <c r="D113" s="426"/>
      <c r="E113" s="600" t="s">
        <v>14</v>
      </c>
      <c r="F113" s="759" t="s">
        <v>77</v>
      </c>
      <c r="G113" s="759"/>
      <c r="H113" s="427"/>
      <c r="I113" s="427"/>
      <c r="J113" s="427"/>
      <c r="K113" s="427"/>
      <c r="L113" s="427"/>
      <c r="M113" s="498"/>
      <c r="N113" s="605">
        <f>'RAB 2.1.12'!Q22</f>
        <v>124000</v>
      </c>
      <c r="O113" s="637"/>
    </row>
    <row r="114" spans="1:15" s="242" customFormat="1" ht="15" customHeight="1">
      <c r="A114" s="497"/>
      <c r="B114" s="426"/>
      <c r="C114" s="426"/>
      <c r="D114" s="426"/>
      <c r="E114" s="600" t="s">
        <v>14</v>
      </c>
      <c r="F114" s="759" t="s">
        <v>178</v>
      </c>
      <c r="G114" s="759"/>
      <c r="H114" s="427"/>
      <c r="I114" s="427"/>
      <c r="J114" s="427"/>
      <c r="K114" s="427"/>
      <c r="L114" s="427"/>
      <c r="M114" s="498"/>
      <c r="N114" s="605">
        <f>'RAB 2.1.12'!Q27</f>
        <v>100000</v>
      </c>
      <c r="O114" s="637"/>
    </row>
    <row r="115" spans="1:15" s="242" customFormat="1" ht="15" customHeight="1">
      <c r="A115" s="482"/>
      <c r="B115" s="513"/>
      <c r="C115" s="513"/>
      <c r="D115" s="513"/>
      <c r="E115" s="603"/>
      <c r="F115" s="604"/>
      <c r="G115" s="604"/>
      <c r="H115" s="483"/>
      <c r="I115" s="483"/>
      <c r="J115" s="483"/>
      <c r="K115" s="483"/>
      <c r="L115" s="483"/>
      <c r="M115" s="484"/>
      <c r="N115" s="598"/>
      <c r="O115" s="637"/>
    </row>
    <row r="116" spans="1:15" s="242" customFormat="1" ht="15" customHeight="1">
      <c r="A116" s="497">
        <v>2</v>
      </c>
      <c r="B116" s="426">
        <v>1</v>
      </c>
      <c r="C116" s="426">
        <v>13</v>
      </c>
      <c r="D116" s="426"/>
      <c r="E116" s="607" t="s">
        <v>226</v>
      </c>
      <c r="F116" s="590"/>
      <c r="G116" s="590"/>
      <c r="H116" s="427"/>
      <c r="I116" s="427"/>
      <c r="J116" s="427"/>
      <c r="K116" s="427"/>
      <c r="L116" s="427"/>
      <c r="M116" s="498"/>
      <c r="N116" s="598">
        <f>N117</f>
        <v>3061500</v>
      </c>
      <c r="O116" s="637" t="s">
        <v>480</v>
      </c>
    </row>
    <row r="117" spans="1:15" s="242" customFormat="1" ht="15" customHeight="1">
      <c r="A117" s="497">
        <v>2</v>
      </c>
      <c r="B117" s="426">
        <v>1</v>
      </c>
      <c r="C117" s="426">
        <v>13</v>
      </c>
      <c r="D117" s="426">
        <v>2</v>
      </c>
      <c r="E117" s="758" t="s">
        <v>29</v>
      </c>
      <c r="F117" s="759"/>
      <c r="G117" s="759"/>
      <c r="H117" s="427"/>
      <c r="I117" s="427"/>
      <c r="J117" s="427"/>
      <c r="K117" s="427"/>
      <c r="L117" s="427"/>
      <c r="M117" s="498"/>
      <c r="N117" s="605">
        <f>SUM(N118:N121)</f>
        <v>3061500</v>
      </c>
      <c r="O117" s="637"/>
    </row>
    <row r="118" spans="1:15" s="242" customFormat="1" ht="15" customHeight="1">
      <c r="A118" s="497"/>
      <c r="B118" s="426"/>
      <c r="C118" s="426"/>
      <c r="D118" s="426"/>
      <c r="E118" s="589" t="s">
        <v>14</v>
      </c>
      <c r="F118" s="590" t="s">
        <v>204</v>
      </c>
      <c r="G118" s="590"/>
      <c r="H118" s="427"/>
      <c r="I118" s="427"/>
      <c r="J118" s="427"/>
      <c r="K118" s="427"/>
      <c r="L118" s="427"/>
      <c r="M118" s="498"/>
      <c r="N118" s="605">
        <f>'RAB 2.1.13'!Q17</f>
        <v>1550000</v>
      </c>
      <c r="O118" s="637"/>
    </row>
    <row r="119" spans="1:15" s="242" customFormat="1" ht="15" customHeight="1">
      <c r="A119" s="497"/>
      <c r="B119" s="426"/>
      <c r="C119" s="426"/>
      <c r="D119" s="426"/>
      <c r="E119" s="589" t="s">
        <v>14</v>
      </c>
      <c r="F119" s="590" t="s">
        <v>51</v>
      </c>
      <c r="G119" s="590"/>
      <c r="H119" s="427"/>
      <c r="I119" s="427"/>
      <c r="J119" s="427"/>
      <c r="K119" s="427"/>
      <c r="L119" s="427"/>
      <c r="M119" s="498"/>
      <c r="N119" s="605">
        <f>'RAB 2.1.13'!Q22</f>
        <v>1225000</v>
      </c>
      <c r="O119" s="637"/>
    </row>
    <row r="120" spans="1:15" s="242" customFormat="1" ht="15" customHeight="1">
      <c r="A120" s="497"/>
      <c r="B120" s="426"/>
      <c r="C120" s="426"/>
      <c r="D120" s="426"/>
      <c r="E120" s="600" t="s">
        <v>14</v>
      </c>
      <c r="F120" s="759" t="s">
        <v>77</v>
      </c>
      <c r="G120" s="759"/>
      <c r="H120" s="427"/>
      <c r="I120" s="427"/>
      <c r="J120" s="427"/>
      <c r="K120" s="427"/>
      <c r="L120" s="427"/>
      <c r="M120" s="498"/>
      <c r="N120" s="605">
        <f>'RAB 2.1.13'!Q26</f>
        <v>86500</v>
      </c>
      <c r="O120" s="637"/>
    </row>
    <row r="121" spans="1:15" s="242" customFormat="1" ht="15" customHeight="1">
      <c r="A121" s="497"/>
      <c r="B121" s="426"/>
      <c r="C121" s="426"/>
      <c r="D121" s="426"/>
      <c r="E121" s="600" t="s">
        <v>14</v>
      </c>
      <c r="F121" s="759" t="s">
        <v>178</v>
      </c>
      <c r="G121" s="759"/>
      <c r="H121" s="427"/>
      <c r="I121" s="427"/>
      <c r="J121" s="427"/>
      <c r="K121" s="427"/>
      <c r="L121" s="427"/>
      <c r="M121" s="498"/>
      <c r="N121" s="605">
        <f>'RAB 2.1.13'!Q31</f>
        <v>200000</v>
      </c>
      <c r="O121" s="637"/>
    </row>
    <row r="122" spans="1:15" s="242" customFormat="1" ht="15" customHeight="1">
      <c r="A122" s="451"/>
      <c r="B122" s="451"/>
      <c r="C122" s="451"/>
      <c r="D122" s="451"/>
      <c r="E122" s="641"/>
      <c r="F122" s="616"/>
      <c r="G122" s="616"/>
      <c r="H122" s="451"/>
      <c r="I122" s="451"/>
      <c r="J122" s="451"/>
      <c r="K122" s="451"/>
      <c r="L122" s="451"/>
      <c r="M122" s="451"/>
      <c r="N122" s="642"/>
      <c r="O122" s="643"/>
    </row>
    <row r="123" spans="1:15" s="242" customFormat="1" ht="15" customHeight="1">
      <c r="A123" s="286"/>
      <c r="B123" s="286"/>
      <c r="C123" s="286"/>
      <c r="D123" s="286"/>
      <c r="E123" s="644"/>
      <c r="F123" s="655"/>
      <c r="G123" s="655"/>
      <c r="H123" s="286"/>
      <c r="I123" s="286"/>
      <c r="J123" s="286"/>
      <c r="K123" s="286"/>
      <c r="L123" s="286"/>
      <c r="M123" s="286"/>
      <c r="N123" s="645"/>
      <c r="O123" s="646"/>
    </row>
    <row r="124" spans="1:15" s="242" customFormat="1" ht="15" customHeight="1">
      <c r="A124" s="286"/>
      <c r="B124" s="286"/>
      <c r="C124" s="286"/>
      <c r="D124" s="286"/>
      <c r="E124" s="644"/>
      <c r="F124" s="655"/>
      <c r="G124" s="655"/>
      <c r="H124" s="286"/>
      <c r="I124" s="286"/>
      <c r="J124" s="286"/>
      <c r="K124" s="286"/>
      <c r="L124" s="286"/>
      <c r="M124" s="286"/>
      <c r="N124" s="645"/>
      <c r="O124" s="646"/>
    </row>
    <row r="125" spans="1:15" s="242" customFormat="1" ht="15" customHeight="1">
      <c r="A125" s="286"/>
      <c r="B125" s="286"/>
      <c r="C125" s="286"/>
      <c r="D125" s="286"/>
      <c r="E125" s="644"/>
      <c r="F125" s="655"/>
      <c r="G125" s="655"/>
      <c r="H125" s="286"/>
      <c r="I125" s="286"/>
      <c r="J125" s="286"/>
      <c r="K125" s="286"/>
      <c r="L125" s="286"/>
      <c r="M125" s="286"/>
      <c r="N125" s="645"/>
      <c r="O125" s="646"/>
    </row>
    <row r="126" spans="1:15" s="242" customFormat="1" ht="15" customHeight="1">
      <c r="A126" s="286"/>
      <c r="B126" s="286"/>
      <c r="C126" s="286"/>
      <c r="D126" s="286"/>
      <c r="E126" s="644"/>
      <c r="F126" s="655"/>
      <c r="G126" s="655"/>
      <c r="H126" s="286"/>
      <c r="I126" s="286"/>
      <c r="J126" s="286"/>
      <c r="K126" s="286"/>
      <c r="L126" s="286"/>
      <c r="M126" s="286"/>
      <c r="N126" s="645"/>
      <c r="O126" s="646"/>
    </row>
    <row r="127" spans="1:15" s="242" customFormat="1" ht="15" customHeight="1">
      <c r="A127" s="286"/>
      <c r="B127" s="286"/>
      <c r="C127" s="286"/>
      <c r="D127" s="286"/>
      <c r="E127" s="644"/>
      <c r="F127" s="655"/>
      <c r="G127" s="655"/>
      <c r="H127" s="286"/>
      <c r="I127" s="286"/>
      <c r="J127" s="286"/>
      <c r="K127" s="286"/>
      <c r="L127" s="286"/>
      <c r="M127" s="286"/>
      <c r="N127" s="645"/>
      <c r="O127" s="646"/>
    </row>
    <row r="128" spans="1:15" s="242" customFormat="1" ht="15" customHeight="1">
      <c r="A128" s="286"/>
      <c r="B128" s="286"/>
      <c r="C128" s="286"/>
      <c r="D128" s="286"/>
      <c r="E128" s="644"/>
      <c r="F128" s="655"/>
      <c r="G128" s="655"/>
      <c r="H128" s="286"/>
      <c r="I128" s="286"/>
      <c r="J128" s="286"/>
      <c r="K128" s="286"/>
      <c r="L128" s="286"/>
      <c r="M128" s="286"/>
      <c r="N128" s="645"/>
      <c r="O128" s="646"/>
    </row>
    <row r="129" spans="1:15" s="242" customFormat="1" ht="15" customHeight="1">
      <c r="A129" s="286"/>
      <c r="B129" s="286"/>
      <c r="C129" s="286"/>
      <c r="D129" s="286"/>
      <c r="E129" s="644"/>
      <c r="F129" s="655"/>
      <c r="G129" s="655"/>
      <c r="H129" s="286"/>
      <c r="I129" s="286"/>
      <c r="J129" s="286"/>
      <c r="K129" s="286"/>
      <c r="L129" s="286"/>
      <c r="M129" s="286"/>
      <c r="N129" s="645"/>
      <c r="O129" s="646"/>
    </row>
    <row r="130" spans="1:15" s="242" customFormat="1" ht="15" customHeight="1">
      <c r="A130" s="286"/>
      <c r="B130" s="286"/>
      <c r="C130" s="286"/>
      <c r="D130" s="286"/>
      <c r="E130" s="644"/>
      <c r="F130" s="655"/>
      <c r="G130" s="655"/>
      <c r="H130" s="286"/>
      <c r="I130" s="286"/>
      <c r="J130" s="286"/>
      <c r="K130" s="286"/>
      <c r="L130" s="286"/>
      <c r="M130" s="286"/>
      <c r="N130" s="645"/>
      <c r="O130" s="646"/>
    </row>
    <row r="131" spans="1:15" s="242" customFormat="1" ht="15" customHeight="1">
      <c r="A131" s="286"/>
      <c r="B131" s="286"/>
      <c r="C131" s="286"/>
      <c r="D131" s="286"/>
      <c r="E131" s="644"/>
      <c r="F131" s="655"/>
      <c r="G131" s="655"/>
      <c r="H131" s="286"/>
      <c r="I131" s="286"/>
      <c r="J131" s="286"/>
      <c r="K131" s="286"/>
      <c r="L131" s="286"/>
      <c r="M131" s="286"/>
      <c r="N131" s="645"/>
      <c r="O131" s="646"/>
    </row>
    <row r="132" spans="1:15" s="242" customFormat="1" ht="15" customHeight="1">
      <c r="A132" s="286"/>
      <c r="B132" s="286"/>
      <c r="C132" s="286"/>
      <c r="D132" s="286"/>
      <c r="E132" s="644"/>
      <c r="F132" s="655"/>
      <c r="G132" s="655"/>
      <c r="H132" s="286"/>
      <c r="I132" s="286"/>
      <c r="J132" s="286"/>
      <c r="K132" s="286"/>
      <c r="L132" s="286"/>
      <c r="M132" s="286"/>
      <c r="N132" s="645"/>
      <c r="O132" s="646"/>
    </row>
    <row r="133" spans="1:15" s="242" customFormat="1" ht="15" customHeight="1">
      <c r="A133" s="670"/>
      <c r="B133" s="670"/>
      <c r="C133" s="670"/>
      <c r="D133" s="670"/>
      <c r="E133" s="647"/>
      <c r="F133" s="617"/>
      <c r="G133" s="617"/>
      <c r="H133" s="670"/>
      <c r="I133" s="670"/>
      <c r="J133" s="670"/>
      <c r="K133" s="670"/>
      <c r="L133" s="670"/>
      <c r="M133" s="670"/>
      <c r="N133" s="648"/>
      <c r="O133" s="649"/>
    </row>
    <row r="134" spans="1:15" s="242" customFormat="1" ht="15" customHeight="1">
      <c r="A134" s="497">
        <v>2</v>
      </c>
      <c r="B134" s="426">
        <v>1</v>
      </c>
      <c r="C134" s="426">
        <v>14</v>
      </c>
      <c r="D134" s="426"/>
      <c r="E134" s="607" t="s">
        <v>499</v>
      </c>
      <c r="F134" s="590"/>
      <c r="G134" s="590"/>
      <c r="H134" s="427"/>
      <c r="I134" s="427"/>
      <c r="J134" s="427"/>
      <c r="K134" s="427"/>
      <c r="L134" s="427"/>
      <c r="M134" s="498"/>
      <c r="N134" s="598">
        <f>N135</f>
        <v>2015000</v>
      </c>
      <c r="O134" s="637" t="s">
        <v>484</v>
      </c>
    </row>
    <row r="135" spans="1:15" s="242" customFormat="1" ht="15" customHeight="1">
      <c r="A135" s="497">
        <v>2</v>
      </c>
      <c r="B135" s="426">
        <v>1</v>
      </c>
      <c r="C135" s="426">
        <v>14</v>
      </c>
      <c r="D135" s="426">
        <v>2</v>
      </c>
      <c r="E135" s="758" t="s">
        <v>29</v>
      </c>
      <c r="F135" s="759"/>
      <c r="G135" s="759"/>
      <c r="H135" s="427"/>
      <c r="I135" s="427"/>
      <c r="J135" s="427"/>
      <c r="K135" s="427"/>
      <c r="L135" s="427"/>
      <c r="M135" s="498"/>
      <c r="N135" s="605">
        <f>SUM(N136:N139)</f>
        <v>2015000</v>
      </c>
      <c r="O135" s="637"/>
    </row>
    <row r="136" spans="1:15" s="242" customFormat="1" ht="15" customHeight="1">
      <c r="A136" s="497"/>
      <c r="B136" s="426"/>
      <c r="C136" s="426"/>
      <c r="D136" s="426"/>
      <c r="E136" s="589" t="s">
        <v>14</v>
      </c>
      <c r="F136" s="590" t="s">
        <v>204</v>
      </c>
      <c r="G136" s="590"/>
      <c r="H136" s="427"/>
      <c r="I136" s="427"/>
      <c r="J136" s="427"/>
      <c r="K136" s="427"/>
      <c r="L136" s="427"/>
      <c r="M136" s="498"/>
      <c r="N136" s="605">
        <f>'RAB 2.1.14 '!Q17</f>
        <v>1050000</v>
      </c>
      <c r="O136" s="637"/>
    </row>
    <row r="137" spans="1:15" s="242" customFormat="1" ht="15" customHeight="1">
      <c r="A137" s="497"/>
      <c r="B137" s="426"/>
      <c r="C137" s="426"/>
      <c r="D137" s="426"/>
      <c r="E137" s="589" t="s">
        <v>14</v>
      </c>
      <c r="F137" s="590" t="s">
        <v>51</v>
      </c>
      <c r="G137" s="590"/>
      <c r="H137" s="427"/>
      <c r="I137" s="427"/>
      <c r="J137" s="427"/>
      <c r="K137" s="427"/>
      <c r="L137" s="427"/>
      <c r="M137" s="498"/>
      <c r="N137" s="605">
        <v>0</v>
      </c>
      <c r="O137" s="637"/>
    </row>
    <row r="138" spans="1:15" s="242" customFormat="1" ht="15" customHeight="1">
      <c r="A138" s="497"/>
      <c r="B138" s="426"/>
      <c r="C138" s="426"/>
      <c r="D138" s="426"/>
      <c r="E138" s="600" t="s">
        <v>14</v>
      </c>
      <c r="F138" s="759" t="s">
        <v>77</v>
      </c>
      <c r="G138" s="759"/>
      <c r="H138" s="427"/>
      <c r="I138" s="427"/>
      <c r="J138" s="427"/>
      <c r="K138" s="427"/>
      <c r="L138" s="427"/>
      <c r="M138" s="498"/>
      <c r="N138" s="605">
        <f>'RAB 2.1.14 '!Q22</f>
        <v>131500</v>
      </c>
      <c r="O138" s="637"/>
    </row>
    <row r="139" spans="1:15" s="242" customFormat="1" ht="15" customHeight="1">
      <c r="A139" s="497"/>
      <c r="B139" s="426"/>
      <c r="C139" s="426"/>
      <c r="D139" s="426"/>
      <c r="E139" s="600" t="s">
        <v>14</v>
      </c>
      <c r="F139" s="759" t="s">
        <v>178</v>
      </c>
      <c r="G139" s="759"/>
      <c r="H139" s="427"/>
      <c r="I139" s="427"/>
      <c r="J139" s="427"/>
      <c r="K139" s="427"/>
      <c r="L139" s="427"/>
      <c r="M139" s="498"/>
      <c r="N139" s="605">
        <f>'RAB 2.1.14 '!Q27</f>
        <v>833500</v>
      </c>
      <c r="O139" s="637"/>
    </row>
    <row r="140" spans="1:15" s="242" customFormat="1" ht="15" customHeight="1">
      <c r="A140" s="497"/>
      <c r="B140" s="426"/>
      <c r="C140" s="426"/>
      <c r="D140" s="426"/>
      <c r="E140" s="600"/>
      <c r="F140" s="590"/>
      <c r="G140" s="590"/>
      <c r="H140" s="590"/>
      <c r="I140" s="590"/>
      <c r="J140" s="590"/>
      <c r="K140" s="590"/>
      <c r="L140" s="590"/>
      <c r="M140" s="498"/>
      <c r="N140" s="605"/>
      <c r="O140" s="637"/>
    </row>
    <row r="141" spans="1:15" s="242" customFormat="1" ht="15" customHeight="1">
      <c r="A141" s="497">
        <v>2</v>
      </c>
      <c r="B141" s="426">
        <v>1</v>
      </c>
      <c r="C141" s="426">
        <v>15</v>
      </c>
      <c r="D141" s="426"/>
      <c r="E141" s="607" t="s">
        <v>501</v>
      </c>
      <c r="F141" s="590"/>
      <c r="G141" s="590"/>
      <c r="H141" s="427"/>
      <c r="I141" s="427"/>
      <c r="J141" s="427"/>
      <c r="K141" s="427"/>
      <c r="L141" s="427"/>
      <c r="M141" s="498"/>
      <c r="N141" s="598">
        <f>N142</f>
        <v>1233750</v>
      </c>
      <c r="O141" s="637" t="s">
        <v>480</v>
      </c>
    </row>
    <row r="142" spans="1:15" s="242" customFormat="1" ht="15" customHeight="1">
      <c r="A142" s="497">
        <v>2</v>
      </c>
      <c r="B142" s="426">
        <v>1</v>
      </c>
      <c r="C142" s="426">
        <v>15</v>
      </c>
      <c r="D142" s="426">
        <v>2</v>
      </c>
      <c r="E142" s="758" t="s">
        <v>29</v>
      </c>
      <c r="F142" s="759"/>
      <c r="G142" s="759"/>
      <c r="H142" s="427"/>
      <c r="I142" s="427"/>
      <c r="J142" s="427"/>
      <c r="K142" s="427"/>
      <c r="L142" s="427"/>
      <c r="M142" s="498"/>
      <c r="N142" s="605">
        <f>SUM(N143:N146)</f>
        <v>1233750</v>
      </c>
      <c r="O142" s="637"/>
    </row>
    <row r="143" spans="1:15" s="242" customFormat="1" ht="15" customHeight="1">
      <c r="A143" s="497"/>
      <c r="B143" s="426"/>
      <c r="C143" s="426"/>
      <c r="D143" s="426"/>
      <c r="E143" s="589" t="s">
        <v>14</v>
      </c>
      <c r="F143" s="590" t="s">
        <v>204</v>
      </c>
      <c r="G143" s="590"/>
      <c r="H143" s="427"/>
      <c r="I143" s="427"/>
      <c r="J143" s="427"/>
      <c r="K143" s="427"/>
      <c r="L143" s="427"/>
      <c r="M143" s="498"/>
      <c r="N143" s="605">
        <f>'RAB 2.1.15'!Q17</f>
        <v>505000</v>
      </c>
      <c r="O143" s="637"/>
    </row>
    <row r="144" spans="1:15" s="242" customFormat="1" ht="15" customHeight="1">
      <c r="A144" s="497"/>
      <c r="B144" s="426"/>
      <c r="C144" s="426"/>
      <c r="D144" s="426"/>
      <c r="E144" s="589" t="s">
        <v>14</v>
      </c>
      <c r="F144" s="590" t="s">
        <v>51</v>
      </c>
      <c r="G144" s="590"/>
      <c r="H144" s="427"/>
      <c r="I144" s="427"/>
      <c r="J144" s="427"/>
      <c r="K144" s="427"/>
      <c r="L144" s="427"/>
      <c r="M144" s="498"/>
      <c r="N144" s="605">
        <f>'RAB 2.1.15'!Q22</f>
        <v>630000</v>
      </c>
      <c r="O144" s="637"/>
    </row>
    <row r="145" spans="1:15" s="242" customFormat="1" ht="15" customHeight="1">
      <c r="A145" s="497"/>
      <c r="B145" s="426"/>
      <c r="C145" s="426"/>
      <c r="D145" s="426"/>
      <c r="E145" s="600" t="s">
        <v>14</v>
      </c>
      <c r="F145" s="759" t="s">
        <v>77</v>
      </c>
      <c r="G145" s="759"/>
      <c r="H145" s="427"/>
      <c r="I145" s="427"/>
      <c r="J145" s="427"/>
      <c r="K145" s="427"/>
      <c r="L145" s="427"/>
      <c r="M145" s="498"/>
      <c r="N145" s="605">
        <f>'RAB 2.1.15'!Q26</f>
        <v>63750</v>
      </c>
      <c r="O145" s="637"/>
    </row>
    <row r="146" spans="1:15" s="242" customFormat="1" ht="15" customHeight="1">
      <c r="A146" s="497"/>
      <c r="B146" s="426"/>
      <c r="C146" s="426"/>
      <c r="D146" s="426"/>
      <c r="E146" s="600" t="s">
        <v>14</v>
      </c>
      <c r="F146" s="759" t="s">
        <v>178</v>
      </c>
      <c r="G146" s="759"/>
      <c r="H146" s="427"/>
      <c r="I146" s="427"/>
      <c r="J146" s="427"/>
      <c r="K146" s="427"/>
      <c r="L146" s="427"/>
      <c r="M146" s="498"/>
      <c r="N146" s="605">
        <f>'RAB 2.1.15'!Q30</f>
        <v>35000</v>
      </c>
      <c r="O146" s="637"/>
    </row>
    <row r="147" spans="1:15" s="242" customFormat="1" ht="15" customHeight="1">
      <c r="A147" s="497"/>
      <c r="B147" s="426"/>
      <c r="C147" s="426"/>
      <c r="D147" s="426"/>
      <c r="E147" s="600"/>
      <c r="F147" s="590"/>
      <c r="G147" s="590"/>
      <c r="H147" s="590"/>
      <c r="I147" s="590"/>
      <c r="J147" s="590"/>
      <c r="K147" s="590"/>
      <c r="L147" s="590"/>
      <c r="M147" s="498"/>
      <c r="N147" s="605"/>
      <c r="O147" s="637"/>
    </row>
    <row r="148" spans="1:15" s="242" customFormat="1" ht="15" customHeight="1">
      <c r="A148" s="497">
        <v>2</v>
      </c>
      <c r="B148" s="426">
        <v>1</v>
      </c>
      <c r="C148" s="426">
        <v>16</v>
      </c>
      <c r="D148" s="426"/>
      <c r="E148" s="607" t="s">
        <v>396</v>
      </c>
      <c r="F148" s="590"/>
      <c r="G148" s="590"/>
      <c r="H148" s="427"/>
      <c r="I148" s="427"/>
      <c r="J148" s="427"/>
      <c r="K148" s="427"/>
      <c r="L148" s="427"/>
      <c r="M148" s="498"/>
      <c r="N148" s="598">
        <f>N149</f>
        <v>10000000</v>
      </c>
      <c r="O148" s="637" t="s">
        <v>288</v>
      </c>
    </row>
    <row r="149" spans="1:15" s="242" customFormat="1" ht="15" customHeight="1">
      <c r="A149" s="497">
        <v>2</v>
      </c>
      <c r="B149" s="426">
        <v>1</v>
      </c>
      <c r="C149" s="426">
        <v>16</v>
      </c>
      <c r="D149" s="426">
        <v>2</v>
      </c>
      <c r="E149" s="758" t="s">
        <v>29</v>
      </c>
      <c r="F149" s="759"/>
      <c r="G149" s="759"/>
      <c r="H149" s="427"/>
      <c r="I149" s="427"/>
      <c r="J149" s="427"/>
      <c r="K149" s="427"/>
      <c r="L149" s="427"/>
      <c r="M149" s="498"/>
      <c r="N149" s="605">
        <f>SUM(N150:N153)</f>
        <v>10000000</v>
      </c>
      <c r="O149" s="637"/>
    </row>
    <row r="150" spans="1:15" s="242" customFormat="1" ht="15" customHeight="1">
      <c r="A150" s="497"/>
      <c r="B150" s="426"/>
      <c r="C150" s="426"/>
      <c r="D150" s="426"/>
      <c r="E150" s="589" t="s">
        <v>14</v>
      </c>
      <c r="F150" s="590" t="s">
        <v>204</v>
      </c>
      <c r="G150" s="590"/>
      <c r="H150" s="427"/>
      <c r="I150" s="427"/>
      <c r="J150" s="427"/>
      <c r="K150" s="427"/>
      <c r="L150" s="427"/>
      <c r="M150" s="498"/>
      <c r="N150" s="605">
        <f>'RAB 2.1.16'!Q17</f>
        <v>4200000</v>
      </c>
      <c r="O150" s="637"/>
    </row>
    <row r="151" spans="1:15" s="242" customFormat="1" ht="15" customHeight="1">
      <c r="A151" s="497"/>
      <c r="B151" s="426"/>
      <c r="C151" s="426"/>
      <c r="D151" s="426"/>
      <c r="E151" s="589" t="s">
        <v>14</v>
      </c>
      <c r="F151" s="590" t="s">
        <v>51</v>
      </c>
      <c r="G151" s="590"/>
      <c r="H151" s="427"/>
      <c r="I151" s="427"/>
      <c r="J151" s="427"/>
      <c r="K151" s="427"/>
      <c r="L151" s="427"/>
      <c r="M151" s="498"/>
      <c r="N151" s="605">
        <f>'RAB 2.1.16'!Q23</f>
        <v>5180000</v>
      </c>
      <c r="O151" s="637"/>
    </row>
    <row r="152" spans="1:15" s="242" customFormat="1" ht="15" customHeight="1">
      <c r="A152" s="497"/>
      <c r="B152" s="426"/>
      <c r="C152" s="426"/>
      <c r="D152" s="426"/>
      <c r="E152" s="600" t="s">
        <v>14</v>
      </c>
      <c r="F152" s="759" t="s">
        <v>77</v>
      </c>
      <c r="G152" s="759"/>
      <c r="H152" s="427"/>
      <c r="I152" s="427"/>
      <c r="J152" s="427"/>
      <c r="K152" s="427"/>
      <c r="L152" s="427"/>
      <c r="M152" s="498"/>
      <c r="N152" s="605">
        <f>'RAB 2.1.16'!Q27</f>
        <v>150000</v>
      </c>
      <c r="O152" s="637"/>
    </row>
    <row r="153" spans="1:15" s="242" customFormat="1" ht="15" customHeight="1">
      <c r="A153" s="497"/>
      <c r="B153" s="426"/>
      <c r="C153" s="426"/>
      <c r="D153" s="426"/>
      <c r="E153" s="600" t="s">
        <v>14</v>
      </c>
      <c r="F153" s="759" t="s">
        <v>178</v>
      </c>
      <c r="G153" s="759"/>
      <c r="H153" s="427"/>
      <c r="I153" s="427"/>
      <c r="J153" s="427"/>
      <c r="K153" s="427"/>
      <c r="L153" s="427"/>
      <c r="M153" s="498"/>
      <c r="N153" s="605">
        <f>'RAB 2.1.16'!Q32</f>
        <v>470000</v>
      </c>
      <c r="O153" s="637"/>
    </row>
    <row r="154" spans="1:15" s="242" customFormat="1" ht="15" customHeight="1">
      <c r="A154" s="497"/>
      <c r="B154" s="426"/>
      <c r="C154" s="426"/>
      <c r="D154" s="426"/>
      <c r="E154" s="600"/>
      <c r="F154" s="590"/>
      <c r="G154" s="590"/>
      <c r="H154" s="590"/>
      <c r="I154" s="590"/>
      <c r="J154" s="590"/>
      <c r="K154" s="590"/>
      <c r="L154" s="590"/>
      <c r="M154" s="498"/>
      <c r="N154" s="605"/>
      <c r="O154" s="637"/>
    </row>
    <row r="155" spans="1:15" s="242" customFormat="1" ht="15" customHeight="1">
      <c r="A155" s="482">
        <v>2</v>
      </c>
      <c r="B155" s="513">
        <v>2</v>
      </c>
      <c r="C155" s="513"/>
      <c r="D155" s="513"/>
      <c r="E155" s="762" t="s">
        <v>155</v>
      </c>
      <c r="F155" s="763"/>
      <c r="G155" s="763"/>
      <c r="H155" s="763"/>
      <c r="I155" s="763"/>
      <c r="J155" s="763"/>
      <c r="K155" s="763"/>
      <c r="L155" s="763"/>
      <c r="M155" s="484"/>
      <c r="N155" s="598">
        <f>SUM(N165+N185+N242+N264+N314)+N157</f>
        <v>653953500.39999998</v>
      </c>
      <c r="O155" s="637"/>
    </row>
    <row r="156" spans="1:15" s="242" customFormat="1" ht="15" customHeight="1">
      <c r="A156" s="482"/>
      <c r="B156" s="513"/>
      <c r="C156" s="513"/>
      <c r="D156" s="513"/>
      <c r="E156" s="603"/>
      <c r="F156" s="604"/>
      <c r="G156" s="604"/>
      <c r="H156" s="604"/>
      <c r="I156" s="604"/>
      <c r="J156" s="604"/>
      <c r="K156" s="604"/>
      <c r="L156" s="604"/>
      <c r="M156" s="484"/>
      <c r="N156" s="598"/>
      <c r="O156" s="637"/>
    </row>
    <row r="157" spans="1:15" s="242" customFormat="1" ht="15" customHeight="1">
      <c r="A157" s="497">
        <v>2</v>
      </c>
      <c r="B157" s="426">
        <v>2</v>
      </c>
      <c r="C157" s="426">
        <v>1</v>
      </c>
      <c r="D157" s="426"/>
      <c r="E157" s="593" t="s">
        <v>537</v>
      </c>
      <c r="F157" s="594"/>
      <c r="G157" s="594"/>
      <c r="H157" s="594"/>
      <c r="I157" s="594"/>
      <c r="J157" s="594"/>
      <c r="K157" s="594"/>
      <c r="L157" s="594"/>
      <c r="M157" s="498"/>
      <c r="N157" s="598">
        <f>N158+N162</f>
        <v>63320000</v>
      </c>
      <c r="O157" s="637"/>
    </row>
    <row r="158" spans="1:15" s="242" customFormat="1" ht="15" customHeight="1">
      <c r="A158" s="497">
        <v>2</v>
      </c>
      <c r="B158" s="426">
        <v>2</v>
      </c>
      <c r="C158" s="426">
        <v>1</v>
      </c>
      <c r="D158" s="426">
        <v>2</v>
      </c>
      <c r="E158" s="758" t="s">
        <v>29</v>
      </c>
      <c r="F158" s="759"/>
      <c r="G158" s="759"/>
      <c r="H158" s="759"/>
      <c r="I158" s="759"/>
      <c r="J158" s="759"/>
      <c r="K158" s="759"/>
      <c r="L158" s="759"/>
      <c r="M158" s="606"/>
      <c r="N158" s="598">
        <f>N159</f>
        <v>7070000</v>
      </c>
      <c r="O158" s="637"/>
    </row>
    <row r="159" spans="1:15" s="242" customFormat="1" ht="15" customHeight="1">
      <c r="A159" s="497"/>
      <c r="B159" s="426"/>
      <c r="C159" s="426"/>
      <c r="D159" s="426"/>
      <c r="E159" s="600" t="s">
        <v>14</v>
      </c>
      <c r="F159" s="594" t="s">
        <v>538</v>
      </c>
      <c r="G159" s="594"/>
      <c r="H159" s="594"/>
      <c r="I159" s="594"/>
      <c r="J159" s="594"/>
      <c r="K159" s="594"/>
      <c r="L159" s="594"/>
      <c r="M159" s="661"/>
      <c r="N159" s="598">
        <f>SUM(N160:N160)</f>
        <v>7070000</v>
      </c>
      <c r="O159" s="637"/>
    </row>
    <row r="160" spans="1:15" s="242" customFormat="1" ht="15" customHeight="1">
      <c r="A160" s="497"/>
      <c r="B160" s="426"/>
      <c r="C160" s="426"/>
      <c r="D160" s="426"/>
      <c r="E160" s="600"/>
      <c r="F160" s="767" t="s">
        <v>539</v>
      </c>
      <c r="G160" s="759"/>
      <c r="H160" s="590"/>
      <c r="I160" s="590"/>
      <c r="J160" s="590"/>
      <c r="K160" s="590"/>
      <c r="L160" s="590"/>
      <c r="M160" s="498"/>
      <c r="N160" s="598">
        <f>'RAB 2.2.1.'!S20</f>
        <v>7070000</v>
      </c>
      <c r="O160" s="637"/>
    </row>
    <row r="161" spans="1:17" s="242" customFormat="1" ht="15" customHeight="1">
      <c r="A161" s="482"/>
      <c r="B161" s="513"/>
      <c r="C161" s="513"/>
      <c r="D161" s="513"/>
      <c r="E161" s="603"/>
      <c r="F161" s="604"/>
      <c r="G161" s="604"/>
      <c r="H161" s="604"/>
      <c r="I161" s="604"/>
      <c r="J161" s="604"/>
      <c r="K161" s="604"/>
      <c r="L161" s="604"/>
      <c r="M161" s="484"/>
      <c r="N161" s="598"/>
      <c r="O161" s="637"/>
    </row>
    <row r="162" spans="1:17" s="242" customFormat="1" ht="15" customHeight="1">
      <c r="A162" s="497">
        <v>2</v>
      </c>
      <c r="B162" s="426">
        <v>2</v>
      </c>
      <c r="C162" s="426">
        <v>3</v>
      </c>
      <c r="D162" s="426">
        <v>3</v>
      </c>
      <c r="E162" s="607" t="s">
        <v>536</v>
      </c>
      <c r="F162" s="590"/>
      <c r="G162" s="590"/>
      <c r="H162" s="590"/>
      <c r="I162" s="590"/>
      <c r="J162" s="590"/>
      <c r="K162" s="590"/>
      <c r="L162" s="590"/>
      <c r="M162" s="498"/>
      <c r="N162" s="598">
        <f>N163</f>
        <v>56250000</v>
      </c>
      <c r="O162" s="637"/>
      <c r="Q162" s="311">
        <f>Q163-N252</f>
        <v>137937500</v>
      </c>
    </row>
    <row r="163" spans="1:17" s="242" customFormat="1" ht="15" customHeight="1">
      <c r="A163" s="497"/>
      <c r="B163" s="426"/>
      <c r="C163" s="426"/>
      <c r="D163" s="426"/>
      <c r="E163" s="600"/>
      <c r="F163" s="611" t="s">
        <v>14</v>
      </c>
      <c r="G163" s="594" t="s">
        <v>535</v>
      </c>
      <c r="H163" s="594"/>
      <c r="I163" s="594"/>
      <c r="J163" s="594"/>
      <c r="K163" s="594"/>
      <c r="L163" s="594"/>
      <c r="M163" s="498"/>
      <c r="N163" s="605">
        <f>'RAB 2.2.1.'!S23</f>
        <v>56250000</v>
      </c>
      <c r="O163" s="637"/>
      <c r="Q163" s="311">
        <f>N158+N166+N186+N242+N265+N315</f>
        <v>152937500</v>
      </c>
    </row>
    <row r="164" spans="1:17" s="242" customFormat="1" ht="15" customHeight="1">
      <c r="A164" s="482"/>
      <c r="B164" s="513"/>
      <c r="C164" s="513"/>
      <c r="D164" s="513"/>
      <c r="E164" s="603"/>
      <c r="F164" s="604"/>
      <c r="G164" s="604"/>
      <c r="H164" s="604"/>
      <c r="I164" s="604"/>
      <c r="J164" s="604"/>
      <c r="K164" s="604"/>
      <c r="L164" s="604"/>
      <c r="M164" s="484"/>
      <c r="N164" s="598"/>
      <c r="O164" s="637"/>
      <c r="Q164" s="311">
        <f>N162+N171+N199+N252+N271+N333</f>
        <v>516016000.39999998</v>
      </c>
    </row>
    <row r="165" spans="1:17" s="242" customFormat="1" ht="15" customHeight="1">
      <c r="A165" s="497">
        <v>2</v>
      </c>
      <c r="B165" s="426">
        <v>2</v>
      </c>
      <c r="C165" s="426">
        <v>3</v>
      </c>
      <c r="D165" s="426"/>
      <c r="E165" s="593" t="s">
        <v>393</v>
      </c>
      <c r="F165" s="594"/>
      <c r="G165" s="594"/>
      <c r="H165" s="594"/>
      <c r="I165" s="594"/>
      <c r="J165" s="594"/>
      <c r="K165" s="594"/>
      <c r="L165" s="594"/>
      <c r="M165" s="498"/>
      <c r="N165" s="598">
        <f>N166+N171</f>
        <v>257698500</v>
      </c>
      <c r="O165" s="637" t="s">
        <v>286</v>
      </c>
      <c r="Q165" s="271">
        <f>N165+N185+N264+N314+N425+N429</f>
        <v>653895000.39999998</v>
      </c>
    </row>
    <row r="166" spans="1:17" s="242" customFormat="1" ht="15" customHeight="1">
      <c r="A166" s="497">
        <v>2</v>
      </c>
      <c r="B166" s="426">
        <v>2</v>
      </c>
      <c r="C166" s="426">
        <v>3</v>
      </c>
      <c r="D166" s="426">
        <v>2</v>
      </c>
      <c r="E166" s="758" t="s">
        <v>29</v>
      </c>
      <c r="F166" s="759"/>
      <c r="G166" s="759"/>
      <c r="H166" s="759"/>
      <c r="I166" s="759"/>
      <c r="J166" s="759"/>
      <c r="K166" s="759"/>
      <c r="L166" s="759"/>
      <c r="M166" s="606"/>
      <c r="N166" s="598">
        <f>N167</f>
        <v>40616000</v>
      </c>
      <c r="O166" s="637"/>
      <c r="Q166" s="271"/>
    </row>
    <row r="167" spans="1:17" s="242" customFormat="1" ht="15" customHeight="1">
      <c r="A167" s="497"/>
      <c r="B167" s="426"/>
      <c r="C167" s="426"/>
      <c r="D167" s="426"/>
      <c r="E167" s="600" t="s">
        <v>14</v>
      </c>
      <c r="F167" s="759" t="s">
        <v>457</v>
      </c>
      <c r="G167" s="759"/>
      <c r="H167" s="759"/>
      <c r="I167" s="759"/>
      <c r="J167" s="759"/>
      <c r="K167" s="759"/>
      <c r="L167" s="759"/>
      <c r="M167" s="498"/>
      <c r="N167" s="605">
        <f>SUM(N168:N169)</f>
        <v>40616000</v>
      </c>
      <c r="O167" s="637"/>
      <c r="Q167" s="271"/>
    </row>
    <row r="168" spans="1:17" s="242" customFormat="1" ht="15" customHeight="1">
      <c r="A168" s="497"/>
      <c r="B168" s="426"/>
      <c r="C168" s="426"/>
      <c r="D168" s="426"/>
      <c r="E168" s="600"/>
      <c r="F168" s="759" t="str">
        <f>'RAB 2.2.3...'!I20</f>
        <v>Pekerja</v>
      </c>
      <c r="G168" s="759"/>
      <c r="H168" s="590"/>
      <c r="I168" s="590"/>
      <c r="J168" s="590"/>
      <c r="K168" s="590"/>
      <c r="L168" s="590"/>
      <c r="M168" s="498"/>
      <c r="N168" s="605">
        <f>'RAB 2.2.3...'!S20</f>
        <v>33782000</v>
      </c>
      <c r="O168" s="637"/>
      <c r="Q168" s="271" t="e">
        <f>N166+#REF!+N186+N243+N265+N315</f>
        <v>#REF!</v>
      </c>
    </row>
    <row r="169" spans="1:17" s="242" customFormat="1" ht="15" customHeight="1">
      <c r="A169" s="497"/>
      <c r="B169" s="426"/>
      <c r="C169" s="426"/>
      <c r="D169" s="426"/>
      <c r="E169" s="600"/>
      <c r="F169" s="759" t="str">
        <f>'RAB 2.2.3...'!I21</f>
        <v>Tukang</v>
      </c>
      <c r="G169" s="759"/>
      <c r="H169" s="590"/>
      <c r="I169" s="590"/>
      <c r="J169" s="590"/>
      <c r="K169" s="590"/>
      <c r="L169" s="590"/>
      <c r="M169" s="498"/>
      <c r="N169" s="605">
        <f>'RAB 2.2.3...'!S21</f>
        <v>6834000.0000000009</v>
      </c>
      <c r="O169" s="637"/>
      <c r="Q169" s="271" t="e">
        <f>N172+#REF!+N199+N271+N333</f>
        <v>#REF!</v>
      </c>
    </row>
    <row r="170" spans="1:17" s="242" customFormat="1" ht="15" customHeight="1">
      <c r="A170" s="497"/>
      <c r="B170" s="426"/>
      <c r="C170" s="426"/>
      <c r="D170" s="426"/>
      <c r="E170" s="600"/>
      <c r="F170" s="590"/>
      <c r="G170" s="590"/>
      <c r="H170" s="590"/>
      <c r="I170" s="590"/>
      <c r="J170" s="590"/>
      <c r="K170" s="590"/>
      <c r="L170" s="590"/>
      <c r="M170" s="498"/>
      <c r="N170" s="605"/>
      <c r="O170" s="637"/>
      <c r="Q170" s="271"/>
    </row>
    <row r="171" spans="1:17" s="242" customFormat="1" ht="15" customHeight="1">
      <c r="A171" s="497">
        <v>2</v>
      </c>
      <c r="B171" s="426">
        <v>2</v>
      </c>
      <c r="C171" s="426">
        <v>3</v>
      </c>
      <c r="D171" s="426">
        <v>3</v>
      </c>
      <c r="E171" s="607" t="s">
        <v>60</v>
      </c>
      <c r="F171" s="590"/>
      <c r="G171" s="590"/>
      <c r="H171" s="590"/>
      <c r="I171" s="590"/>
      <c r="J171" s="590"/>
      <c r="K171" s="590"/>
      <c r="L171" s="590"/>
      <c r="M171" s="498"/>
      <c r="N171" s="598">
        <f>N172</f>
        <v>217082500</v>
      </c>
      <c r="O171" s="637"/>
      <c r="Q171" s="271" t="e">
        <f>#REF!+Sheet1!I33</f>
        <v>#REF!</v>
      </c>
    </row>
    <row r="172" spans="1:17" s="242" customFormat="1" ht="15" customHeight="1">
      <c r="A172" s="497"/>
      <c r="B172" s="426"/>
      <c r="C172" s="426"/>
      <c r="D172" s="426"/>
      <c r="E172" s="766" t="s">
        <v>512</v>
      </c>
      <c r="F172" s="759"/>
      <c r="G172" s="759"/>
      <c r="H172" s="759"/>
      <c r="I172" s="759"/>
      <c r="J172" s="759"/>
      <c r="K172" s="759"/>
      <c r="L172" s="759"/>
      <c r="M172" s="498"/>
      <c r="N172" s="605">
        <f>SUM(N173:N183)</f>
        <v>217082500</v>
      </c>
      <c r="O172" s="637"/>
      <c r="Q172" s="271"/>
    </row>
    <row r="173" spans="1:17" s="242" customFormat="1" ht="15" customHeight="1">
      <c r="A173" s="497"/>
      <c r="B173" s="426"/>
      <c r="C173" s="426"/>
      <c r="D173" s="426"/>
      <c r="E173" s="600"/>
      <c r="F173" s="759" t="str">
        <f>'RAB 2.2.3...'!I26</f>
        <v>Pasir Pasangan</v>
      </c>
      <c r="G173" s="759"/>
      <c r="H173" s="759"/>
      <c r="I173" s="759"/>
      <c r="J173" s="759"/>
      <c r="K173" s="759"/>
      <c r="L173" s="759"/>
      <c r="M173" s="498"/>
      <c r="N173" s="605">
        <f>'RAB 2.2.3...'!S26</f>
        <v>30810000</v>
      </c>
      <c r="O173" s="637"/>
      <c r="Q173" s="271"/>
    </row>
    <row r="174" spans="1:17" s="242" customFormat="1" ht="15" customHeight="1">
      <c r="A174" s="497"/>
      <c r="B174" s="426"/>
      <c r="C174" s="426"/>
      <c r="D174" s="426"/>
      <c r="E174" s="600"/>
      <c r="F174" s="590" t="str">
        <f>'RAB 2.2.3...'!I27</f>
        <v>Semen Portland</v>
      </c>
      <c r="G174" s="590"/>
      <c r="H174" s="590"/>
      <c r="I174" s="590"/>
      <c r="J174" s="590"/>
      <c r="K174" s="590"/>
      <c r="L174" s="590"/>
      <c r="M174" s="498"/>
      <c r="N174" s="605">
        <f>'RAB 2.2.3...'!S27</f>
        <v>127775700</v>
      </c>
      <c r="O174" s="637"/>
    </row>
    <row r="175" spans="1:17" s="242" customFormat="1" ht="15" customHeight="1">
      <c r="A175" s="497"/>
      <c r="B175" s="426"/>
      <c r="C175" s="426"/>
      <c r="D175" s="426"/>
      <c r="E175" s="600"/>
      <c r="F175" s="590" t="str">
        <f>'RAB 2.2.3...'!I28</f>
        <v>Kerikil tersaring</v>
      </c>
      <c r="G175" s="590"/>
      <c r="H175" s="590"/>
      <c r="I175" s="590"/>
      <c r="J175" s="590"/>
      <c r="K175" s="590"/>
      <c r="L175" s="590"/>
      <c r="M175" s="498"/>
      <c r="N175" s="605">
        <f>'RAB 2.2.3...'!S28</f>
        <v>50017500</v>
      </c>
      <c r="O175" s="637"/>
    </row>
    <row r="176" spans="1:17" s="242" customFormat="1" ht="15" customHeight="1">
      <c r="A176" s="497"/>
      <c r="B176" s="426"/>
      <c r="C176" s="426"/>
      <c r="D176" s="426"/>
      <c r="E176" s="600"/>
      <c r="F176" s="590" t="str">
        <f>'RAB 2.2.3...'!I29</f>
        <v>Kayu/Papan</v>
      </c>
      <c r="G176" s="590"/>
      <c r="H176" s="590"/>
      <c r="I176" s="590"/>
      <c r="J176" s="590"/>
      <c r="K176" s="590"/>
      <c r="L176" s="590"/>
      <c r="M176" s="498"/>
      <c r="N176" s="605">
        <f>'RAB 2.2.3...'!S29</f>
        <v>420000</v>
      </c>
      <c r="O176" s="637"/>
    </row>
    <row r="177" spans="1:17" s="242" customFormat="1" ht="15" customHeight="1">
      <c r="A177" s="497"/>
      <c r="B177" s="426"/>
      <c r="C177" s="426"/>
      <c r="D177" s="426"/>
      <c r="E177" s="600"/>
      <c r="F177" s="590" t="str">
        <f>'RAB 2.2.3...'!I30</f>
        <v>Kebutuhan Air</v>
      </c>
      <c r="G177" s="590"/>
      <c r="H177" s="590"/>
      <c r="I177" s="590"/>
      <c r="J177" s="590"/>
      <c r="K177" s="590"/>
      <c r="L177" s="590"/>
      <c r="M177" s="498"/>
      <c r="N177" s="605">
        <f>'RAB 2.2.3...'!S30</f>
        <v>6300000</v>
      </c>
      <c r="O177" s="637"/>
    </row>
    <row r="178" spans="1:17" s="242" customFormat="1" ht="15" customHeight="1">
      <c r="A178" s="497"/>
      <c r="B178" s="426"/>
      <c r="C178" s="426"/>
      <c r="D178" s="426"/>
      <c r="E178" s="600"/>
      <c r="F178" s="590" t="str">
        <f>'RAB 2.2.3...'!I31</f>
        <v>Gerobak</v>
      </c>
      <c r="G178" s="590"/>
      <c r="H178" s="590"/>
      <c r="I178" s="590"/>
      <c r="J178" s="590"/>
      <c r="K178" s="590"/>
      <c r="L178" s="590"/>
      <c r="M178" s="498"/>
      <c r="N178" s="605">
        <f>'RAB 2.2.3...'!S31</f>
        <v>800000</v>
      </c>
      <c r="O178" s="637"/>
      <c r="Q178" s="311"/>
    </row>
    <row r="179" spans="1:17" s="242" customFormat="1" ht="15" customHeight="1">
      <c r="A179" s="497"/>
      <c r="B179" s="426"/>
      <c r="C179" s="426"/>
      <c r="D179" s="426"/>
      <c r="E179" s="600"/>
      <c r="F179" s="590" t="str">
        <f>'RAB 2.2.3...'!I32</f>
        <v>Skop</v>
      </c>
      <c r="G179" s="590"/>
      <c r="H179" s="590"/>
      <c r="I179" s="590"/>
      <c r="J179" s="590"/>
      <c r="K179" s="590"/>
      <c r="L179" s="590"/>
      <c r="M179" s="498"/>
      <c r="N179" s="605">
        <f>'RAB 2.2.3...'!S32</f>
        <v>325000</v>
      </c>
      <c r="O179" s="637"/>
      <c r="Q179" s="311"/>
    </row>
    <row r="180" spans="1:17" s="242" customFormat="1" ht="15" customHeight="1">
      <c r="A180" s="497"/>
      <c r="B180" s="426"/>
      <c r="C180" s="426"/>
      <c r="D180" s="426"/>
      <c r="E180" s="600"/>
      <c r="F180" s="590" t="str">
        <f>'RAB 2.2.3...'!I33</f>
        <v>Ember</v>
      </c>
      <c r="G180" s="590"/>
      <c r="H180" s="590"/>
      <c r="I180" s="590"/>
      <c r="J180" s="590"/>
      <c r="K180" s="590"/>
      <c r="L180" s="590"/>
      <c r="M180" s="498"/>
      <c r="N180" s="605">
        <f>'RAB 2.2.3...'!S33</f>
        <v>72000</v>
      </c>
      <c r="O180" s="637"/>
      <c r="Q180" s="311"/>
    </row>
    <row r="181" spans="1:17" s="242" customFormat="1" ht="15" customHeight="1">
      <c r="A181" s="497"/>
      <c r="B181" s="426"/>
      <c r="C181" s="426"/>
      <c r="D181" s="426"/>
      <c r="E181" s="600"/>
      <c r="F181" s="590" t="str">
        <f>'RAB 2.2.3...'!I34</f>
        <v>Drum</v>
      </c>
      <c r="G181" s="590"/>
      <c r="H181" s="590"/>
      <c r="I181" s="590"/>
      <c r="J181" s="590"/>
      <c r="K181" s="590"/>
      <c r="L181" s="590"/>
      <c r="M181" s="498"/>
      <c r="N181" s="605">
        <f>'RAB 2.2.3...'!S34</f>
        <v>100000</v>
      </c>
      <c r="O181" s="637"/>
    </row>
    <row r="182" spans="1:17" s="242" customFormat="1" ht="15" customHeight="1">
      <c r="A182" s="497"/>
      <c r="B182" s="426"/>
      <c r="C182" s="426"/>
      <c r="D182" s="426"/>
      <c r="E182" s="600"/>
      <c r="F182" s="590" t="str">
        <f>'RAB 2.2.3...'!I35</f>
        <v>Tali</v>
      </c>
      <c r="G182" s="590"/>
      <c r="H182" s="590"/>
      <c r="I182" s="590"/>
      <c r="J182" s="590"/>
      <c r="K182" s="590"/>
      <c r="L182" s="590"/>
      <c r="M182" s="498"/>
      <c r="N182" s="605">
        <f>'RAB 2.2.3...'!S35</f>
        <v>12300</v>
      </c>
      <c r="O182" s="637"/>
    </row>
    <row r="183" spans="1:17" s="242" customFormat="1" ht="15" customHeight="1">
      <c r="A183" s="497"/>
      <c r="B183" s="426"/>
      <c r="C183" s="426"/>
      <c r="D183" s="426"/>
      <c r="E183" s="600"/>
      <c r="F183" s="590" t="str">
        <f>'RAB 2.2.3...'!I36</f>
        <v>Prasasti</v>
      </c>
      <c r="G183" s="590"/>
      <c r="H183" s="590"/>
      <c r="I183" s="590"/>
      <c r="J183" s="590"/>
      <c r="K183" s="590"/>
      <c r="L183" s="590"/>
      <c r="M183" s="498"/>
      <c r="N183" s="605">
        <f>'RAB 2.2.3...'!S36</f>
        <v>450000</v>
      </c>
      <c r="O183" s="637"/>
    </row>
    <row r="184" spans="1:17" s="242" customFormat="1" ht="15" customHeight="1">
      <c r="A184" s="497"/>
      <c r="B184" s="426"/>
      <c r="C184" s="426"/>
      <c r="D184" s="426"/>
      <c r="E184" s="600"/>
      <c r="F184" s="590">
        <f>'RAB 2.2.1.'!I35</f>
        <v>0</v>
      </c>
      <c r="G184" s="590"/>
      <c r="H184" s="590"/>
      <c r="I184" s="590"/>
      <c r="J184" s="590"/>
      <c r="K184" s="590"/>
      <c r="L184" s="590"/>
      <c r="M184" s="498"/>
      <c r="N184" s="605"/>
      <c r="O184" s="637"/>
    </row>
    <row r="185" spans="1:17" s="242" customFormat="1" ht="15" customHeight="1">
      <c r="A185" s="497">
        <v>2</v>
      </c>
      <c r="B185" s="426">
        <v>2</v>
      </c>
      <c r="C185" s="426">
        <v>6</v>
      </c>
      <c r="D185" s="426"/>
      <c r="E185" s="593" t="s">
        <v>394</v>
      </c>
      <c r="F185" s="594"/>
      <c r="G185" s="594"/>
      <c r="H185" s="594"/>
      <c r="I185" s="594"/>
      <c r="J185" s="594"/>
      <c r="K185" s="594"/>
      <c r="L185" s="594"/>
      <c r="M185" s="498"/>
      <c r="N185" s="598">
        <f>SUM(N186+N199)</f>
        <v>23912250</v>
      </c>
      <c r="O185" s="637" t="s">
        <v>286</v>
      </c>
    </row>
    <row r="186" spans="1:17" s="242" customFormat="1" ht="15" customHeight="1">
      <c r="A186" s="497">
        <v>2</v>
      </c>
      <c r="B186" s="426">
        <v>2</v>
      </c>
      <c r="C186" s="426">
        <v>6</v>
      </c>
      <c r="D186" s="426">
        <v>1</v>
      </c>
      <c r="E186" s="758" t="s">
        <v>29</v>
      </c>
      <c r="F186" s="759"/>
      <c r="G186" s="759"/>
      <c r="H186" s="759"/>
      <c r="I186" s="759"/>
      <c r="J186" s="759"/>
      <c r="K186" s="759"/>
      <c r="L186" s="759"/>
      <c r="M186" s="606"/>
      <c r="N186" s="598">
        <f>SUM(N188:N190)</f>
        <v>7280000</v>
      </c>
      <c r="O186" s="637"/>
    </row>
    <row r="187" spans="1:17" s="242" customFormat="1" ht="15" customHeight="1">
      <c r="A187" s="497"/>
      <c r="B187" s="426"/>
      <c r="C187" s="426"/>
      <c r="D187" s="426"/>
      <c r="E187" s="589" t="s">
        <v>14</v>
      </c>
      <c r="F187" s="590" t="s">
        <v>510</v>
      </c>
      <c r="G187" s="590"/>
      <c r="H187" s="590"/>
      <c r="I187" s="590"/>
      <c r="J187" s="590"/>
      <c r="K187" s="590"/>
      <c r="L187" s="590"/>
      <c r="M187" s="606"/>
      <c r="N187" s="598"/>
      <c r="O187" s="637"/>
    </row>
    <row r="188" spans="1:17" s="242" customFormat="1" ht="15" customHeight="1">
      <c r="A188" s="497"/>
      <c r="B188" s="426"/>
      <c r="C188" s="426"/>
      <c r="D188" s="426"/>
      <c r="E188" s="600"/>
      <c r="F188" s="759" t="str">
        <f>'RAB 2.2.6'!I19</f>
        <v>- Pekerja</v>
      </c>
      <c r="G188" s="759"/>
      <c r="H188" s="759"/>
      <c r="I188" s="759"/>
      <c r="J188" s="759"/>
      <c r="K188" s="759"/>
      <c r="L188" s="759"/>
      <c r="M188" s="498"/>
      <c r="N188" s="605">
        <f>'RAB 2.2.6'!S19</f>
        <v>3740000</v>
      </c>
      <c r="O188" s="637"/>
    </row>
    <row r="189" spans="1:17" s="242" customFormat="1" ht="15" customHeight="1">
      <c r="A189" s="497"/>
      <c r="B189" s="426"/>
      <c r="C189" s="426"/>
      <c r="D189" s="426"/>
      <c r="E189" s="600"/>
      <c r="F189" s="759" t="str">
        <f>'RAB 2.2.6'!I20</f>
        <v>- Tukang</v>
      </c>
      <c r="G189" s="759"/>
      <c r="H189" s="590"/>
      <c r="I189" s="590"/>
      <c r="J189" s="590"/>
      <c r="K189" s="590"/>
      <c r="L189" s="590"/>
      <c r="M189" s="498"/>
      <c r="N189" s="605">
        <f>'RAB 2.2.6'!S20</f>
        <v>2860000</v>
      </c>
      <c r="O189" s="637"/>
    </row>
    <row r="190" spans="1:17" s="242" customFormat="1" ht="15" customHeight="1">
      <c r="A190" s="497"/>
      <c r="B190" s="426"/>
      <c r="C190" s="426"/>
      <c r="D190" s="426"/>
      <c r="E190" s="600"/>
      <c r="F190" s="759" t="str">
        <f>'RAB 2.2.6'!I21</f>
        <v>- Ka. Kelompok</v>
      </c>
      <c r="G190" s="759"/>
      <c r="H190" s="590"/>
      <c r="I190" s="590"/>
      <c r="J190" s="590"/>
      <c r="K190" s="590"/>
      <c r="L190" s="590"/>
      <c r="M190" s="498"/>
      <c r="N190" s="605">
        <f>'RAB 2.2.6'!S21</f>
        <v>680000</v>
      </c>
      <c r="O190" s="637"/>
    </row>
    <row r="191" spans="1:17" s="242" customFormat="1" ht="15" customHeight="1">
      <c r="A191" s="451"/>
      <c r="B191" s="451"/>
      <c r="C191" s="451"/>
      <c r="D191" s="451"/>
      <c r="E191" s="641"/>
      <c r="F191" s="616"/>
      <c r="G191" s="616"/>
      <c r="H191" s="616"/>
      <c r="I191" s="616"/>
      <c r="J191" s="616"/>
      <c r="K191" s="616"/>
      <c r="L191" s="616"/>
      <c r="M191" s="451"/>
      <c r="N191" s="642"/>
      <c r="O191" s="643"/>
    </row>
    <row r="192" spans="1:17" s="242" customFormat="1" ht="15" customHeight="1">
      <c r="A192" s="286"/>
      <c r="B192" s="286"/>
      <c r="C192" s="286"/>
      <c r="D192" s="286"/>
      <c r="E192" s="644"/>
      <c r="F192" s="655"/>
      <c r="G192" s="655"/>
      <c r="H192" s="655"/>
      <c r="I192" s="655"/>
      <c r="J192" s="655"/>
      <c r="K192" s="655"/>
      <c r="L192" s="655"/>
      <c r="M192" s="286"/>
      <c r="N192" s="645"/>
      <c r="O192" s="646"/>
    </row>
    <row r="193" spans="1:15" s="242" customFormat="1" ht="15" customHeight="1">
      <c r="A193" s="286"/>
      <c r="B193" s="286"/>
      <c r="C193" s="286"/>
      <c r="D193" s="286"/>
      <c r="E193" s="644"/>
      <c r="F193" s="655"/>
      <c r="G193" s="655"/>
      <c r="H193" s="655"/>
      <c r="I193" s="655"/>
      <c r="J193" s="655"/>
      <c r="K193" s="655"/>
      <c r="L193" s="655"/>
      <c r="M193" s="286"/>
      <c r="N193" s="645"/>
      <c r="O193" s="646"/>
    </row>
    <row r="194" spans="1:15" s="242" customFormat="1" ht="15" customHeight="1">
      <c r="A194" s="286"/>
      <c r="B194" s="286"/>
      <c r="C194" s="286"/>
      <c r="D194" s="286"/>
      <c r="E194" s="644"/>
      <c r="F194" s="655"/>
      <c r="G194" s="655"/>
      <c r="H194" s="655"/>
      <c r="I194" s="655"/>
      <c r="J194" s="655"/>
      <c r="K194" s="655"/>
      <c r="L194" s="655"/>
      <c r="M194" s="286"/>
      <c r="N194" s="645"/>
      <c r="O194" s="646"/>
    </row>
    <row r="195" spans="1:15" s="242" customFormat="1" ht="15" customHeight="1">
      <c r="A195" s="286"/>
      <c r="B195" s="286"/>
      <c r="C195" s="286"/>
      <c r="D195" s="286"/>
      <c r="E195" s="644"/>
      <c r="F195" s="655"/>
      <c r="G195" s="655"/>
      <c r="H195" s="655"/>
      <c r="I195" s="655"/>
      <c r="J195" s="655"/>
      <c r="K195" s="655"/>
      <c r="L195" s="655"/>
      <c r="M195" s="286"/>
      <c r="N195" s="645"/>
      <c r="O195" s="646"/>
    </row>
    <row r="196" spans="1:15" s="242" customFormat="1" ht="15" customHeight="1">
      <c r="A196" s="286"/>
      <c r="B196" s="286"/>
      <c r="C196" s="286"/>
      <c r="D196" s="286"/>
      <c r="E196" s="644"/>
      <c r="F196" s="655"/>
      <c r="G196" s="655"/>
      <c r="H196" s="655"/>
      <c r="I196" s="655"/>
      <c r="J196" s="655"/>
      <c r="K196" s="655"/>
      <c r="L196" s="655"/>
      <c r="M196" s="286"/>
      <c r="N196" s="645"/>
      <c r="O196" s="646"/>
    </row>
    <row r="197" spans="1:15" s="242" customFormat="1" ht="15" customHeight="1">
      <c r="A197" s="286"/>
      <c r="B197" s="286"/>
      <c r="C197" s="286"/>
      <c r="D197" s="286"/>
      <c r="E197" s="644"/>
      <c r="F197" s="655"/>
      <c r="G197" s="655"/>
      <c r="H197" s="655"/>
      <c r="I197" s="655"/>
      <c r="J197" s="655"/>
      <c r="K197" s="655"/>
      <c r="L197" s="655"/>
      <c r="M197" s="286"/>
      <c r="N197" s="645"/>
      <c r="O197" s="646"/>
    </row>
    <row r="198" spans="1:15" s="242" customFormat="1" ht="15" customHeight="1">
      <c r="A198" s="670"/>
      <c r="B198" s="670"/>
      <c r="C198" s="670"/>
      <c r="D198" s="670"/>
      <c r="E198" s="647"/>
      <c r="F198" s="617"/>
      <c r="G198" s="617"/>
      <c r="H198" s="617"/>
      <c r="I198" s="617"/>
      <c r="J198" s="617"/>
      <c r="K198" s="617"/>
      <c r="L198" s="617"/>
      <c r="M198" s="670"/>
      <c r="N198" s="648"/>
      <c r="O198" s="649"/>
    </row>
    <row r="199" spans="1:15" s="242" customFormat="1" ht="15" customHeight="1">
      <c r="A199" s="497">
        <v>2</v>
      </c>
      <c r="B199" s="426">
        <v>2</v>
      </c>
      <c r="C199" s="426">
        <v>6</v>
      </c>
      <c r="D199" s="426">
        <v>2</v>
      </c>
      <c r="E199" s="758" t="s">
        <v>511</v>
      </c>
      <c r="F199" s="759"/>
      <c r="G199" s="759"/>
      <c r="H199" s="759"/>
      <c r="I199" s="759"/>
      <c r="J199" s="759"/>
      <c r="K199" s="759"/>
      <c r="L199" s="759"/>
      <c r="M199" s="498"/>
      <c r="N199" s="598">
        <f>SUM(N200:N240)</f>
        <v>16632250</v>
      </c>
      <c r="O199" s="637"/>
    </row>
    <row r="200" spans="1:15" s="242" customFormat="1" ht="15" customHeight="1">
      <c r="A200" s="497"/>
      <c r="B200" s="426"/>
      <c r="C200" s="426"/>
      <c r="D200" s="426"/>
      <c r="E200" s="607"/>
      <c r="F200" s="590" t="str">
        <f>'RAB 2.2.6'!I24</f>
        <v>Pasir Pasang</v>
      </c>
      <c r="G200" s="590"/>
      <c r="H200" s="590"/>
      <c r="I200" s="590"/>
      <c r="J200" s="590"/>
      <c r="K200" s="590"/>
      <c r="L200" s="590"/>
      <c r="M200" s="498"/>
      <c r="N200" s="605">
        <f>'RAB 2.2.6'!S24</f>
        <v>1350000</v>
      </c>
      <c r="O200" s="637"/>
    </row>
    <row r="201" spans="1:15" s="242" customFormat="1" ht="15" customHeight="1">
      <c r="A201" s="497"/>
      <c r="B201" s="426"/>
      <c r="C201" s="426"/>
      <c r="D201" s="426"/>
      <c r="E201" s="607"/>
      <c r="F201" s="590" t="str">
        <f>'RAB 2.2.6'!I25</f>
        <v>Batu Gunung</v>
      </c>
      <c r="G201" s="590"/>
      <c r="H201" s="590"/>
      <c r="I201" s="590"/>
      <c r="J201" s="590"/>
      <c r="K201" s="590"/>
      <c r="L201" s="590"/>
      <c r="M201" s="498"/>
      <c r="N201" s="605">
        <f>'RAB 2.2.6'!S25</f>
        <v>1433250</v>
      </c>
      <c r="O201" s="637"/>
    </row>
    <row r="202" spans="1:15" s="242" customFormat="1" ht="15" customHeight="1">
      <c r="A202" s="497"/>
      <c r="B202" s="426"/>
      <c r="C202" s="426"/>
      <c r="D202" s="426"/>
      <c r="E202" s="607"/>
      <c r="F202" s="590" t="str">
        <f>'RAB 2.2.6'!I26</f>
        <v>Semen</v>
      </c>
      <c r="G202" s="590"/>
      <c r="H202" s="590"/>
      <c r="I202" s="590"/>
      <c r="J202" s="590"/>
      <c r="K202" s="590"/>
      <c r="L202" s="590"/>
      <c r="M202" s="498"/>
      <c r="N202" s="605">
        <f>'RAB 2.2.6'!S26</f>
        <v>2860000</v>
      </c>
      <c r="O202" s="637"/>
    </row>
    <row r="203" spans="1:15" s="242" customFormat="1" ht="15" customHeight="1">
      <c r="A203" s="497"/>
      <c r="B203" s="426"/>
      <c r="C203" s="426"/>
      <c r="D203" s="426"/>
      <c r="E203" s="607"/>
      <c r="F203" s="590" t="str">
        <f>'RAB 2.2.6'!I27</f>
        <v>Pasir urung</v>
      </c>
      <c r="G203" s="590"/>
      <c r="H203" s="590"/>
      <c r="I203" s="590"/>
      <c r="J203" s="590"/>
      <c r="K203" s="590"/>
      <c r="L203" s="590"/>
      <c r="M203" s="498"/>
      <c r="N203" s="605">
        <f>'RAB 2.2.6'!S27</f>
        <v>170000</v>
      </c>
      <c r="O203" s="637"/>
    </row>
    <row r="204" spans="1:15" s="242" customFormat="1" ht="15" customHeight="1">
      <c r="A204" s="497"/>
      <c r="B204" s="426"/>
      <c r="C204" s="426"/>
      <c r="D204" s="426"/>
      <c r="E204" s="607"/>
      <c r="F204" s="590" t="str">
        <f>'RAB 2.2.6'!I28</f>
        <v>Batu Bata</v>
      </c>
      <c r="G204" s="590"/>
      <c r="H204" s="590"/>
      <c r="I204" s="590"/>
      <c r="J204" s="590"/>
      <c r="K204" s="590"/>
      <c r="L204" s="590"/>
      <c r="M204" s="498"/>
      <c r="N204" s="605">
        <f>'RAB 2.2.6'!S28</f>
        <v>1044000</v>
      </c>
      <c r="O204" s="637"/>
    </row>
    <row r="205" spans="1:15" s="242" customFormat="1" ht="15" customHeight="1">
      <c r="A205" s="497"/>
      <c r="B205" s="426"/>
      <c r="C205" s="426"/>
      <c r="D205" s="426"/>
      <c r="E205" s="607"/>
      <c r="F205" s="590" t="str">
        <f>'RAB 2.2.6'!I29</f>
        <v>Kerikil</v>
      </c>
      <c r="G205" s="590"/>
      <c r="H205" s="590"/>
      <c r="I205" s="590"/>
      <c r="J205" s="590"/>
      <c r="K205" s="590"/>
      <c r="L205" s="590"/>
      <c r="M205" s="498"/>
      <c r="N205" s="605">
        <f>'RAB 2.2.6'!S29</f>
        <v>625000</v>
      </c>
      <c r="O205" s="637"/>
    </row>
    <row r="206" spans="1:15" s="242" customFormat="1" ht="15" customHeight="1">
      <c r="A206" s="497"/>
      <c r="B206" s="426"/>
      <c r="C206" s="426"/>
      <c r="D206" s="426"/>
      <c r="E206" s="607"/>
      <c r="F206" s="590" t="str">
        <f>'RAB 2.2.6'!I30</f>
        <v>Keramik 20/20</v>
      </c>
      <c r="G206" s="590"/>
      <c r="H206" s="590"/>
      <c r="I206" s="590"/>
      <c r="J206" s="590"/>
      <c r="K206" s="590"/>
      <c r="L206" s="590"/>
      <c r="M206" s="498"/>
      <c r="N206" s="605">
        <f>'RAB 2.2.6'!S30</f>
        <v>360000</v>
      </c>
      <c r="O206" s="637"/>
    </row>
    <row r="207" spans="1:15" s="242" customFormat="1" ht="15" customHeight="1">
      <c r="A207" s="497"/>
      <c r="B207" s="426"/>
      <c r="C207" s="426"/>
      <c r="D207" s="426"/>
      <c r="E207" s="607"/>
      <c r="F207" s="590" t="str">
        <f>'RAB 2.2.6'!I31</f>
        <v>Keranik 40/40</v>
      </c>
      <c r="G207" s="590"/>
      <c r="H207" s="590"/>
      <c r="I207" s="590"/>
      <c r="J207" s="590"/>
      <c r="K207" s="590"/>
      <c r="L207" s="590"/>
      <c r="M207" s="498"/>
      <c r="N207" s="605">
        <f>'RAB 2.2.6'!S31</f>
        <v>840000</v>
      </c>
      <c r="O207" s="637"/>
    </row>
    <row r="208" spans="1:15" s="242" customFormat="1" ht="15" customHeight="1">
      <c r="A208" s="497"/>
      <c r="B208" s="426"/>
      <c r="C208" s="426"/>
      <c r="D208" s="426"/>
      <c r="E208" s="607"/>
      <c r="F208" s="590" t="str">
        <f>'RAB 2.2.6'!I32</f>
        <v>Papan 2/20</v>
      </c>
      <c r="G208" s="590"/>
      <c r="H208" s="590"/>
      <c r="I208" s="590"/>
      <c r="J208" s="590"/>
      <c r="K208" s="590"/>
      <c r="L208" s="590"/>
      <c r="M208" s="498"/>
      <c r="N208" s="605">
        <f>'RAB 2.2.6'!S32</f>
        <v>560000</v>
      </c>
      <c r="O208" s="637"/>
    </row>
    <row r="209" spans="1:15" s="242" customFormat="1" ht="15" customHeight="1">
      <c r="A209" s="497"/>
      <c r="B209" s="426"/>
      <c r="C209" s="426"/>
      <c r="D209" s="426"/>
      <c r="E209" s="607"/>
      <c r="F209" s="590" t="str">
        <f>'RAB 2.2.6'!I33</f>
        <v>Balok 6/12</v>
      </c>
      <c r="G209" s="590"/>
      <c r="H209" s="590"/>
      <c r="I209" s="590"/>
      <c r="J209" s="590"/>
      <c r="K209" s="590"/>
      <c r="L209" s="590"/>
      <c r="M209" s="498"/>
      <c r="N209" s="605">
        <f>'RAB 2.2.6'!S33</f>
        <v>320000</v>
      </c>
      <c r="O209" s="637"/>
    </row>
    <row r="210" spans="1:15" s="242" customFormat="1" ht="15" customHeight="1">
      <c r="A210" s="497"/>
      <c r="B210" s="426"/>
      <c r="C210" s="426"/>
      <c r="D210" s="426"/>
      <c r="E210" s="607"/>
      <c r="F210" s="590" t="str">
        <f>'RAB 2.2.6'!I34</f>
        <v>Balok 5/7</v>
      </c>
      <c r="G210" s="590"/>
      <c r="H210" s="590"/>
      <c r="I210" s="590"/>
      <c r="J210" s="590"/>
      <c r="K210" s="590"/>
      <c r="L210" s="590"/>
      <c r="M210" s="498"/>
      <c r="N210" s="605">
        <f>'RAB 2.2.6'!S34</f>
        <v>1080000</v>
      </c>
      <c r="O210" s="637"/>
    </row>
    <row r="211" spans="1:15" s="242" customFormat="1" ht="15" customHeight="1">
      <c r="A211" s="497"/>
      <c r="B211" s="426"/>
      <c r="C211" s="426"/>
      <c r="D211" s="426"/>
      <c r="E211" s="607"/>
      <c r="F211" s="590" t="str">
        <f>'RAB 2.2.6'!I35</f>
        <v>Paku Kayu</v>
      </c>
      <c r="G211" s="590"/>
      <c r="H211" s="590"/>
      <c r="I211" s="590"/>
      <c r="J211" s="590"/>
      <c r="K211" s="590"/>
      <c r="L211" s="590"/>
      <c r="M211" s="498"/>
      <c r="N211" s="605">
        <f>'RAB 2.2.6'!S35</f>
        <v>75000</v>
      </c>
      <c r="O211" s="637"/>
    </row>
    <row r="212" spans="1:15" s="242" customFormat="1" ht="15" customHeight="1">
      <c r="A212" s="497"/>
      <c r="B212" s="426"/>
      <c r="C212" s="426"/>
      <c r="D212" s="426"/>
      <c r="E212" s="607"/>
      <c r="F212" s="590" t="str">
        <f>'RAB 2.2.6'!I36</f>
        <v>Seng</v>
      </c>
      <c r="G212" s="590"/>
      <c r="H212" s="590"/>
      <c r="I212" s="590"/>
      <c r="J212" s="590"/>
      <c r="K212" s="590"/>
      <c r="L212" s="590"/>
      <c r="M212" s="498"/>
      <c r="N212" s="605">
        <f>'RAB 2.2.6'!S36</f>
        <v>1001000</v>
      </c>
      <c r="O212" s="637"/>
    </row>
    <row r="213" spans="1:15" s="242" customFormat="1" ht="15" customHeight="1">
      <c r="A213" s="497"/>
      <c r="B213" s="426"/>
      <c r="C213" s="426"/>
      <c r="D213" s="426"/>
      <c r="E213" s="607"/>
      <c r="F213" s="590" t="str">
        <f>'RAB 2.2.6'!I37</f>
        <v>Nok Seng</v>
      </c>
      <c r="G213" s="590"/>
      <c r="H213" s="590"/>
      <c r="I213" s="590"/>
      <c r="J213" s="590"/>
      <c r="K213" s="590"/>
      <c r="L213" s="590"/>
      <c r="M213" s="498"/>
      <c r="N213" s="605">
        <f>'RAB 2.2.6'!S37</f>
        <v>150000</v>
      </c>
      <c r="O213" s="637"/>
    </row>
    <row r="214" spans="1:15" s="242" customFormat="1" ht="15" customHeight="1">
      <c r="A214" s="497"/>
      <c r="B214" s="426"/>
      <c r="C214" s="426"/>
      <c r="D214" s="426"/>
      <c r="E214" s="607"/>
      <c r="F214" s="590" t="str">
        <f>'RAB 2.2.6'!I38</f>
        <v>Paku Seng</v>
      </c>
      <c r="G214" s="590"/>
      <c r="H214" s="590"/>
      <c r="I214" s="590"/>
      <c r="J214" s="590"/>
      <c r="K214" s="590"/>
      <c r="L214" s="590"/>
      <c r="M214" s="498"/>
      <c r="N214" s="605">
        <f>'RAB 2.2.6'!S38</f>
        <v>21000</v>
      </c>
      <c r="O214" s="637"/>
    </row>
    <row r="215" spans="1:15" s="242" customFormat="1" ht="15" customHeight="1">
      <c r="A215" s="497"/>
      <c r="B215" s="426"/>
      <c r="C215" s="426"/>
      <c r="D215" s="426"/>
      <c r="E215" s="607"/>
      <c r="F215" s="590" t="str">
        <f>'RAB 2.2.6'!I39</f>
        <v>Kaca t=5 mm</v>
      </c>
      <c r="G215" s="590"/>
      <c r="H215" s="590"/>
      <c r="I215" s="590"/>
      <c r="J215" s="590"/>
      <c r="K215" s="590"/>
      <c r="L215" s="590"/>
      <c r="M215" s="498"/>
      <c r="N215" s="605">
        <f>'RAB 2.2.6'!S39</f>
        <v>67500</v>
      </c>
      <c r="O215" s="637"/>
    </row>
    <row r="216" spans="1:15" s="242" customFormat="1" ht="15" customHeight="1">
      <c r="A216" s="497"/>
      <c r="B216" s="426"/>
      <c r="C216" s="426"/>
      <c r="D216" s="426"/>
      <c r="E216" s="607"/>
      <c r="F216" s="590" t="str">
        <f>'RAB 2.2.6'!I40</f>
        <v>Besi Beton D 10 mm</v>
      </c>
      <c r="G216" s="590"/>
      <c r="H216" s="590"/>
      <c r="I216" s="590"/>
      <c r="J216" s="590"/>
      <c r="K216" s="590"/>
      <c r="L216" s="590"/>
      <c r="M216" s="498"/>
      <c r="N216" s="605">
        <f>'RAB 2.2.6'!S40</f>
        <v>1170000</v>
      </c>
      <c r="O216" s="637"/>
    </row>
    <row r="217" spans="1:15" s="242" customFormat="1" ht="15" customHeight="1">
      <c r="A217" s="497"/>
      <c r="B217" s="426"/>
      <c r="C217" s="426"/>
      <c r="D217" s="426"/>
      <c r="E217" s="607"/>
      <c r="F217" s="590" t="str">
        <f>'RAB 2.2.6'!I41</f>
        <v>Besi Beton D 6 mm</v>
      </c>
      <c r="G217" s="590"/>
      <c r="H217" s="590"/>
      <c r="I217" s="590"/>
      <c r="J217" s="590"/>
      <c r="K217" s="590"/>
      <c r="L217" s="590"/>
      <c r="M217" s="498"/>
      <c r="N217" s="605">
        <f>'RAB 2.2.6'!S41</f>
        <v>242000</v>
      </c>
      <c r="O217" s="637"/>
    </row>
    <row r="218" spans="1:15" s="242" customFormat="1" ht="15" customHeight="1">
      <c r="A218" s="497"/>
      <c r="B218" s="426"/>
      <c r="C218" s="426"/>
      <c r="D218" s="426"/>
      <c r="E218" s="607"/>
      <c r="F218" s="590" t="str">
        <f>'RAB 2.2.6'!I42</f>
        <v>Bendrat</v>
      </c>
      <c r="G218" s="590"/>
      <c r="H218" s="590"/>
      <c r="I218" s="590"/>
      <c r="J218" s="590"/>
      <c r="K218" s="590"/>
      <c r="L218" s="590"/>
      <c r="M218" s="498"/>
      <c r="N218" s="605">
        <f>'RAB 2.2.6'!S42</f>
        <v>180000</v>
      </c>
      <c r="O218" s="637"/>
    </row>
    <row r="219" spans="1:15" s="242" customFormat="1" ht="15" customHeight="1">
      <c r="A219" s="497"/>
      <c r="B219" s="426"/>
      <c r="C219" s="426"/>
      <c r="D219" s="426"/>
      <c r="E219" s="607"/>
      <c r="F219" s="590" t="str">
        <f>'RAB 2.2.6'!I43</f>
        <v>Cat Kayu</v>
      </c>
      <c r="G219" s="590"/>
      <c r="H219" s="590"/>
      <c r="I219" s="590"/>
      <c r="J219" s="590"/>
      <c r="K219" s="590"/>
      <c r="L219" s="590"/>
      <c r="M219" s="498"/>
      <c r="N219" s="605">
        <f>'RAB 2.2.6'!S43</f>
        <v>57600</v>
      </c>
      <c r="O219" s="637"/>
    </row>
    <row r="220" spans="1:15" s="242" customFormat="1" ht="15" customHeight="1">
      <c r="A220" s="497"/>
      <c r="B220" s="426"/>
      <c r="C220" s="426"/>
      <c r="D220" s="426"/>
      <c r="E220" s="607"/>
      <c r="F220" s="590" t="str">
        <f>'RAB 2.2.6'!I44</f>
        <v>Cat Tembok</v>
      </c>
      <c r="G220" s="590"/>
      <c r="H220" s="590"/>
      <c r="I220" s="590"/>
      <c r="J220" s="590"/>
      <c r="K220" s="590"/>
      <c r="L220" s="590"/>
      <c r="M220" s="498"/>
      <c r="N220" s="605">
        <f>'RAB 2.2.6'!S44</f>
        <v>125000</v>
      </c>
      <c r="O220" s="637"/>
    </row>
    <row r="221" spans="1:15" s="242" customFormat="1" ht="15" customHeight="1">
      <c r="A221" s="497"/>
      <c r="B221" s="426"/>
      <c r="C221" s="426"/>
      <c r="D221" s="426"/>
      <c r="E221" s="607"/>
      <c r="F221" s="590" t="str">
        <f>'RAB 2.2.6'!I45</f>
        <v>Menie Kayu</v>
      </c>
      <c r="G221" s="590"/>
      <c r="H221" s="590"/>
      <c r="I221" s="590"/>
      <c r="J221" s="590"/>
      <c r="K221" s="590"/>
      <c r="L221" s="590"/>
      <c r="M221" s="498"/>
      <c r="N221" s="605">
        <f>'RAB 2.2.6'!S45</f>
        <v>22500</v>
      </c>
      <c r="O221" s="637"/>
    </row>
    <row r="222" spans="1:15" s="242" customFormat="1" ht="15" customHeight="1">
      <c r="A222" s="497"/>
      <c r="B222" s="426"/>
      <c r="C222" s="426"/>
      <c r="D222" s="426"/>
      <c r="E222" s="607"/>
      <c r="F222" s="590" t="str">
        <f>'RAB 2.2.6'!I46</f>
        <v>Pintu PVC</v>
      </c>
      <c r="G222" s="590"/>
      <c r="H222" s="590"/>
      <c r="I222" s="590"/>
      <c r="J222" s="590"/>
      <c r="K222" s="590"/>
      <c r="L222" s="590"/>
      <c r="M222" s="498"/>
      <c r="N222" s="605">
        <f>'RAB 2.2.6'!S46</f>
        <v>300000</v>
      </c>
      <c r="O222" s="637"/>
    </row>
    <row r="223" spans="1:15" s="242" customFormat="1" ht="15" customHeight="1">
      <c r="A223" s="497"/>
      <c r="B223" s="426"/>
      <c r="C223" s="426"/>
      <c r="D223" s="426"/>
      <c r="E223" s="607"/>
      <c r="F223" s="590" t="str">
        <f>'RAB 2.2.6'!I47</f>
        <v>Kayu Bekisting Kls III</v>
      </c>
      <c r="G223" s="590"/>
      <c r="H223" s="590"/>
      <c r="I223" s="590"/>
      <c r="J223" s="590"/>
      <c r="K223" s="590"/>
      <c r="L223" s="590"/>
      <c r="M223" s="498"/>
      <c r="N223" s="605">
        <f>'RAB 2.2.6'!S47</f>
        <v>150000</v>
      </c>
      <c r="O223" s="637"/>
    </row>
    <row r="224" spans="1:15" s="242" customFormat="1" ht="15" customHeight="1">
      <c r="A224" s="497"/>
      <c r="B224" s="426"/>
      <c r="C224" s="426"/>
      <c r="D224" s="426"/>
      <c r="E224" s="600"/>
      <c r="F224" s="590" t="str">
        <f>'RAB 2.2.6'!I48</f>
        <v>Kuncian Pintu</v>
      </c>
      <c r="G224" s="590"/>
      <c r="H224" s="590"/>
      <c r="I224" s="590"/>
      <c r="J224" s="590"/>
      <c r="K224" s="590"/>
      <c r="L224" s="590"/>
      <c r="M224" s="498"/>
      <c r="N224" s="605">
        <f>'RAB 2.2.6'!S48</f>
        <v>70000</v>
      </c>
      <c r="O224" s="637"/>
    </row>
    <row r="225" spans="1:15" s="242" customFormat="1" ht="15" customHeight="1">
      <c r="A225" s="497"/>
      <c r="B225" s="426"/>
      <c r="C225" s="426"/>
      <c r="D225" s="426"/>
      <c r="E225" s="600"/>
      <c r="F225" s="590" t="str">
        <f>'RAB 2.2.6'!I49</f>
        <v>Grandel Pintu</v>
      </c>
      <c r="G225" s="590"/>
      <c r="H225" s="590"/>
      <c r="I225" s="590"/>
      <c r="J225" s="590"/>
      <c r="K225" s="590"/>
      <c r="L225" s="590"/>
      <c r="M225" s="498"/>
      <c r="N225" s="605">
        <f>'RAB 2.2.6'!S49</f>
        <v>3500</v>
      </c>
      <c r="O225" s="637"/>
    </row>
    <row r="226" spans="1:15" s="242" customFormat="1" ht="15" customHeight="1">
      <c r="A226" s="497"/>
      <c r="B226" s="426"/>
      <c r="C226" s="426"/>
      <c r="D226" s="426"/>
      <c r="E226" s="600"/>
      <c r="F226" s="590" t="str">
        <f>'RAB 2.2.6'!I50</f>
        <v>Engsel Pintu</v>
      </c>
      <c r="G226" s="590"/>
      <c r="H226" s="590"/>
      <c r="I226" s="590"/>
      <c r="J226" s="590"/>
      <c r="K226" s="590"/>
      <c r="L226" s="590"/>
      <c r="M226" s="498"/>
      <c r="N226" s="605">
        <f>'RAB 2.2.6'!S50</f>
        <v>15000</v>
      </c>
      <c r="O226" s="637"/>
    </row>
    <row r="227" spans="1:15" s="242" customFormat="1" ht="15" customHeight="1">
      <c r="A227" s="497"/>
      <c r="B227" s="426"/>
      <c r="C227" s="426"/>
      <c r="D227" s="426"/>
      <c r="E227" s="600"/>
      <c r="F227" s="590" t="str">
        <f>'RAB 2.2.6'!I51</f>
        <v>Engsel Jendela</v>
      </c>
      <c r="G227" s="590"/>
      <c r="H227" s="590"/>
      <c r="I227" s="590"/>
      <c r="J227" s="590"/>
      <c r="K227" s="590"/>
      <c r="L227" s="590"/>
      <c r="M227" s="498"/>
      <c r="N227" s="605">
        <f>'RAB 2.2.6'!S51</f>
        <v>51600</v>
      </c>
      <c r="O227" s="637"/>
    </row>
    <row r="228" spans="1:15" s="242" customFormat="1" ht="15" customHeight="1">
      <c r="A228" s="497"/>
      <c r="B228" s="426"/>
      <c r="C228" s="426"/>
      <c r="D228" s="426"/>
      <c r="E228" s="600"/>
      <c r="F228" s="590" t="str">
        <f>'RAB 2.2.6'!I52</f>
        <v>Kait Angin</v>
      </c>
      <c r="G228" s="590"/>
      <c r="H228" s="590"/>
      <c r="I228" s="590"/>
      <c r="J228" s="590"/>
      <c r="K228" s="590"/>
      <c r="L228" s="590"/>
      <c r="M228" s="498"/>
      <c r="N228" s="605">
        <f>'RAB 2.2.6'!S52</f>
        <v>10000</v>
      </c>
      <c r="O228" s="637"/>
    </row>
    <row r="229" spans="1:15" s="242" customFormat="1" ht="15" customHeight="1">
      <c r="A229" s="497"/>
      <c r="B229" s="426"/>
      <c r="C229" s="426"/>
      <c r="D229" s="426"/>
      <c r="E229" s="600"/>
      <c r="F229" s="590" t="str">
        <f>'RAB 2.2.6'!I53</f>
        <v>Closet</v>
      </c>
      <c r="G229" s="590"/>
      <c r="H229" s="590"/>
      <c r="I229" s="590"/>
      <c r="J229" s="590"/>
      <c r="K229" s="590"/>
      <c r="L229" s="590"/>
      <c r="M229" s="498"/>
      <c r="N229" s="605">
        <f>'RAB 2.2.6'!S53</f>
        <v>170000</v>
      </c>
      <c r="O229" s="637"/>
    </row>
    <row r="230" spans="1:15" s="242" customFormat="1" ht="15" customHeight="1">
      <c r="A230" s="497"/>
      <c r="B230" s="426"/>
      <c r="C230" s="426"/>
      <c r="D230" s="426"/>
      <c r="E230" s="600"/>
      <c r="F230" s="590" t="str">
        <f>'RAB 2.2.6'!I54</f>
        <v>Pipa Ø 3"</v>
      </c>
      <c r="G230" s="590"/>
      <c r="H230" s="590"/>
      <c r="I230" s="590"/>
      <c r="J230" s="590"/>
      <c r="K230" s="590"/>
      <c r="L230" s="590"/>
      <c r="M230" s="498"/>
      <c r="N230" s="605">
        <f>'RAB 2.2.6'!S54</f>
        <v>130000</v>
      </c>
      <c r="O230" s="637"/>
    </row>
    <row r="231" spans="1:15" s="242" customFormat="1" ht="15" customHeight="1">
      <c r="A231" s="497"/>
      <c r="B231" s="426"/>
      <c r="C231" s="426"/>
      <c r="D231" s="426"/>
      <c r="E231" s="600"/>
      <c r="F231" s="590" t="str">
        <f>'RAB 2.2.6'!I55</f>
        <v>Ellow Ø 3"</v>
      </c>
      <c r="G231" s="590"/>
      <c r="H231" s="590"/>
      <c r="I231" s="590"/>
      <c r="J231" s="590"/>
      <c r="K231" s="590"/>
      <c r="L231" s="590"/>
      <c r="M231" s="498"/>
      <c r="N231" s="605">
        <f>'RAB 2.2.6'!S55</f>
        <v>13000</v>
      </c>
      <c r="O231" s="637"/>
    </row>
    <row r="232" spans="1:15" s="242" customFormat="1" ht="15" customHeight="1">
      <c r="A232" s="497"/>
      <c r="B232" s="426"/>
      <c r="C232" s="426"/>
      <c r="D232" s="426"/>
      <c r="E232" s="600"/>
      <c r="F232" s="590" t="str">
        <f>'RAB 2.2.6'!I56</f>
        <v>Ellow Ø 1"</v>
      </c>
      <c r="G232" s="590"/>
      <c r="H232" s="590"/>
      <c r="I232" s="590"/>
      <c r="J232" s="590"/>
      <c r="K232" s="590"/>
      <c r="L232" s="590"/>
      <c r="M232" s="498"/>
      <c r="N232" s="605">
        <f>'RAB 2.2.6'!S56</f>
        <v>7000</v>
      </c>
      <c r="O232" s="637"/>
    </row>
    <row r="233" spans="1:15" s="242" customFormat="1" ht="15" customHeight="1">
      <c r="A233" s="497"/>
      <c r="B233" s="426"/>
      <c r="C233" s="426"/>
      <c r="D233" s="426"/>
      <c r="E233" s="600"/>
      <c r="F233" s="590" t="str">
        <f>'RAB 2.2.6'!I57</f>
        <v>Pipa Ø 1/2"</v>
      </c>
      <c r="G233" s="590"/>
      <c r="H233" s="590"/>
      <c r="I233" s="590"/>
      <c r="J233" s="590"/>
      <c r="K233" s="590"/>
      <c r="L233" s="590"/>
      <c r="M233" s="498"/>
      <c r="N233" s="605">
        <f>'RAB 2.2.6'!S57</f>
        <v>100000</v>
      </c>
      <c r="O233" s="637"/>
    </row>
    <row r="234" spans="1:15" s="242" customFormat="1" ht="15" customHeight="1">
      <c r="A234" s="497"/>
      <c r="B234" s="426"/>
      <c r="C234" s="426"/>
      <c r="D234" s="426"/>
      <c r="E234" s="600"/>
      <c r="F234" s="590" t="str">
        <f>'RAB 2.2.6'!I58</f>
        <v>Instalasi Listrik,Lampu</v>
      </c>
      <c r="G234" s="590"/>
      <c r="H234" s="590"/>
      <c r="I234" s="590"/>
      <c r="J234" s="590"/>
      <c r="K234" s="590"/>
      <c r="L234" s="590"/>
      <c r="M234" s="498"/>
      <c r="N234" s="605">
        <f>'RAB 2.2.6'!S58</f>
        <v>750000</v>
      </c>
      <c r="O234" s="637"/>
    </row>
    <row r="235" spans="1:15" s="242" customFormat="1" ht="15" customHeight="1">
      <c r="A235" s="497"/>
      <c r="B235" s="426"/>
      <c r="C235" s="426"/>
      <c r="D235" s="426"/>
      <c r="E235" s="600"/>
      <c r="F235" s="590" t="str">
        <f>'RAB 2.2.6'!I59</f>
        <v>Urinior</v>
      </c>
      <c r="G235" s="590"/>
      <c r="H235" s="590"/>
      <c r="I235" s="590"/>
      <c r="J235" s="590"/>
      <c r="K235" s="590"/>
      <c r="L235" s="590"/>
      <c r="M235" s="498"/>
      <c r="N235" s="605">
        <f>'RAB 2.2.6'!S59</f>
        <v>20000</v>
      </c>
      <c r="O235" s="637"/>
    </row>
    <row r="236" spans="1:15" s="242" customFormat="1" ht="15" customHeight="1">
      <c r="A236" s="497"/>
      <c r="B236" s="426"/>
      <c r="C236" s="426"/>
      <c r="D236" s="426"/>
      <c r="E236" s="600"/>
      <c r="F236" s="590" t="str">
        <f>'RAB 2.2.6'!I60</f>
        <v>Ember Besar</v>
      </c>
      <c r="G236" s="590"/>
      <c r="H236" s="590"/>
      <c r="I236" s="590"/>
      <c r="J236" s="590"/>
      <c r="K236" s="590"/>
      <c r="L236" s="590"/>
      <c r="M236" s="498"/>
      <c r="N236" s="605">
        <f>'RAB 2.2.6'!S60</f>
        <v>50000</v>
      </c>
      <c r="O236" s="637"/>
    </row>
    <row r="237" spans="1:15" s="242" customFormat="1" ht="15" customHeight="1">
      <c r="A237" s="497"/>
      <c r="B237" s="426"/>
      <c r="C237" s="426"/>
      <c r="D237" s="426"/>
      <c r="E237" s="600"/>
      <c r="F237" s="590" t="str">
        <f>'RAB 2.2.6'!I61</f>
        <v>Kran Air</v>
      </c>
      <c r="G237" s="590"/>
      <c r="H237" s="590"/>
      <c r="I237" s="590"/>
      <c r="J237" s="590"/>
      <c r="K237" s="590"/>
      <c r="L237" s="590"/>
      <c r="M237" s="498"/>
      <c r="N237" s="605">
        <f>'RAB 2.2.6'!S61</f>
        <v>15000</v>
      </c>
      <c r="O237" s="637"/>
    </row>
    <row r="238" spans="1:15" s="242" customFormat="1" ht="15" customHeight="1">
      <c r="A238" s="497"/>
      <c r="B238" s="426"/>
      <c r="C238" s="426"/>
      <c r="D238" s="426"/>
      <c r="E238" s="600"/>
      <c r="F238" s="590" t="str">
        <f>'RAB 2.2.6'!I62</f>
        <v>Alat Bantu</v>
      </c>
      <c r="G238" s="590"/>
      <c r="H238" s="590"/>
      <c r="I238" s="590"/>
      <c r="J238" s="590"/>
      <c r="K238" s="590"/>
      <c r="L238" s="590"/>
      <c r="M238" s="498"/>
      <c r="N238" s="605">
        <f>'RAB 2.2.6'!S62</f>
        <v>160000</v>
      </c>
      <c r="O238" s="637"/>
    </row>
    <row r="239" spans="1:15" s="242" customFormat="1" ht="15" customHeight="1">
      <c r="A239" s="497"/>
      <c r="B239" s="426"/>
      <c r="C239" s="426"/>
      <c r="D239" s="426"/>
      <c r="E239" s="600"/>
      <c r="F239" s="590" t="str">
        <f>'RAB 2.2.6'!I63</f>
        <v>Grobak Dorong</v>
      </c>
      <c r="G239" s="590"/>
      <c r="H239" s="590"/>
      <c r="I239" s="590"/>
      <c r="J239" s="590"/>
      <c r="K239" s="590"/>
      <c r="L239" s="590"/>
      <c r="M239" s="498"/>
      <c r="N239" s="605">
        <f>'RAB 2.2.6'!S63</f>
        <v>413300</v>
      </c>
      <c r="O239" s="637"/>
    </row>
    <row r="240" spans="1:15" s="242" customFormat="1" ht="15" customHeight="1">
      <c r="A240" s="497"/>
      <c r="B240" s="426"/>
      <c r="C240" s="426"/>
      <c r="D240" s="426"/>
      <c r="E240" s="600"/>
      <c r="F240" s="590" t="str">
        <f>'RAB 2.2.6'!I64</f>
        <v>Prasasti</v>
      </c>
      <c r="G240" s="590"/>
      <c r="H240" s="590"/>
      <c r="I240" s="590"/>
      <c r="J240" s="590"/>
      <c r="K240" s="590"/>
      <c r="L240" s="590"/>
      <c r="M240" s="498"/>
      <c r="N240" s="605">
        <f>'RAB 2.2.6'!S64</f>
        <v>450000</v>
      </c>
      <c r="O240" s="637"/>
    </row>
    <row r="241" spans="1:15" s="242" customFormat="1" ht="15" customHeight="1">
      <c r="A241" s="497"/>
      <c r="B241" s="426"/>
      <c r="C241" s="426"/>
      <c r="D241" s="426"/>
      <c r="E241" s="600"/>
      <c r="F241" s="590"/>
      <c r="G241" s="590"/>
      <c r="H241" s="590"/>
      <c r="I241" s="590"/>
      <c r="J241" s="590"/>
      <c r="K241" s="590"/>
      <c r="L241" s="590"/>
      <c r="M241" s="498"/>
      <c r="N241" s="605"/>
      <c r="O241" s="637"/>
    </row>
    <row r="242" spans="1:15" s="242" customFormat="1" ht="15" customHeight="1">
      <c r="A242" s="497">
        <v>2</v>
      </c>
      <c r="B242" s="426">
        <v>2</v>
      </c>
      <c r="C242" s="426">
        <v>7</v>
      </c>
      <c r="D242" s="426"/>
      <c r="E242" s="593" t="s">
        <v>425</v>
      </c>
      <c r="F242" s="594"/>
      <c r="G242" s="594"/>
      <c r="H242" s="594"/>
      <c r="I242" s="594"/>
      <c r="J242" s="594"/>
      <c r="K242" s="594"/>
      <c r="L242" s="594"/>
      <c r="M242" s="498"/>
      <c r="N242" s="598">
        <f>N243+N252</f>
        <v>18636500</v>
      </c>
      <c r="O242" s="637" t="s">
        <v>288</v>
      </c>
    </row>
    <row r="243" spans="1:15" s="242" customFormat="1" ht="15" customHeight="1">
      <c r="A243" s="497">
        <v>2</v>
      </c>
      <c r="B243" s="426">
        <v>2</v>
      </c>
      <c r="C243" s="426">
        <v>7</v>
      </c>
      <c r="D243" s="426">
        <v>2</v>
      </c>
      <c r="E243" s="758" t="s">
        <v>29</v>
      </c>
      <c r="F243" s="759"/>
      <c r="G243" s="759"/>
      <c r="H243" s="759"/>
      <c r="I243" s="759"/>
      <c r="J243" s="759"/>
      <c r="K243" s="759"/>
      <c r="L243" s="759"/>
      <c r="M243" s="606"/>
      <c r="N243" s="598">
        <f>N244+N246+N248+N250+N251</f>
        <v>3636500</v>
      </c>
      <c r="O243" s="637"/>
    </row>
    <row r="244" spans="1:15" s="242" customFormat="1" ht="15" customHeight="1">
      <c r="A244" s="497"/>
      <c r="B244" s="426"/>
      <c r="C244" s="426"/>
      <c r="D244" s="426"/>
      <c r="E244" s="589" t="s">
        <v>14</v>
      </c>
      <c r="F244" s="590" t="s">
        <v>504</v>
      </c>
      <c r="G244" s="590"/>
      <c r="H244" s="590"/>
      <c r="I244" s="590"/>
      <c r="J244" s="590"/>
      <c r="K244" s="590"/>
      <c r="L244" s="590"/>
      <c r="M244" s="606"/>
      <c r="N244" s="598">
        <f>N245</f>
        <v>1500000</v>
      </c>
      <c r="O244" s="637"/>
    </row>
    <row r="245" spans="1:15" s="242" customFormat="1" ht="15" customHeight="1">
      <c r="A245" s="497"/>
      <c r="B245" s="426"/>
      <c r="C245" s="426"/>
      <c r="D245" s="426"/>
      <c r="E245" s="589"/>
      <c r="F245" s="609" t="s">
        <v>14</v>
      </c>
      <c r="G245" s="590" t="s">
        <v>507</v>
      </c>
      <c r="H245" s="590"/>
      <c r="I245" s="590"/>
      <c r="J245" s="590"/>
      <c r="K245" s="590"/>
      <c r="L245" s="590"/>
      <c r="M245" s="606"/>
      <c r="N245" s="605">
        <f>'RAB 2.2.7'!Q17</f>
        <v>1500000</v>
      </c>
      <c r="O245" s="637"/>
    </row>
    <row r="246" spans="1:15" s="242" customFormat="1" ht="15" customHeight="1">
      <c r="A246" s="497"/>
      <c r="B246" s="426"/>
      <c r="C246" s="426"/>
      <c r="D246" s="426"/>
      <c r="E246" s="589" t="s">
        <v>14</v>
      </c>
      <c r="F246" s="590" t="s">
        <v>204</v>
      </c>
      <c r="G246" s="590"/>
      <c r="H246" s="590"/>
      <c r="I246" s="590"/>
      <c r="J246" s="590"/>
      <c r="K246" s="590"/>
      <c r="L246" s="590"/>
      <c r="M246" s="498"/>
      <c r="N246" s="598">
        <f>SUM(N247:N247)</f>
        <v>900000</v>
      </c>
      <c r="O246" s="637"/>
    </row>
    <row r="247" spans="1:15" s="242" customFormat="1" ht="15" customHeight="1">
      <c r="A247" s="497"/>
      <c r="B247" s="426"/>
      <c r="C247" s="426"/>
      <c r="D247" s="426"/>
      <c r="E247" s="589"/>
      <c r="F247" s="609" t="s">
        <v>14</v>
      </c>
      <c r="G247" s="590" t="s">
        <v>488</v>
      </c>
      <c r="H247" s="590"/>
      <c r="I247" s="590"/>
      <c r="J247" s="590"/>
      <c r="K247" s="590"/>
      <c r="L247" s="590"/>
      <c r="M247" s="498"/>
      <c r="N247" s="605">
        <f>'RAB 2.2.7'!Q21</f>
        <v>900000</v>
      </c>
      <c r="O247" s="637"/>
    </row>
    <row r="248" spans="1:15" s="242" customFormat="1" ht="15" customHeight="1">
      <c r="A248" s="497"/>
      <c r="B248" s="426"/>
      <c r="C248" s="426"/>
      <c r="D248" s="426"/>
      <c r="E248" s="589" t="s">
        <v>14</v>
      </c>
      <c r="F248" s="590" t="s">
        <v>489</v>
      </c>
      <c r="G248" s="590"/>
      <c r="H248" s="590"/>
      <c r="I248" s="590"/>
      <c r="J248" s="590"/>
      <c r="K248" s="590"/>
      <c r="L248" s="590"/>
      <c r="M248" s="498"/>
      <c r="N248" s="598">
        <f>SUM(N249:N249)</f>
        <v>1050000</v>
      </c>
      <c r="O248" s="637"/>
    </row>
    <row r="249" spans="1:15" s="242" customFormat="1" ht="15" customHeight="1">
      <c r="A249" s="497"/>
      <c r="B249" s="426"/>
      <c r="C249" s="426"/>
      <c r="D249" s="426"/>
      <c r="E249" s="589"/>
      <c r="F249" s="609" t="s">
        <v>14</v>
      </c>
      <c r="G249" s="590" t="s">
        <v>508</v>
      </c>
      <c r="H249" s="590"/>
      <c r="I249" s="590"/>
      <c r="J249" s="590"/>
      <c r="K249" s="590"/>
      <c r="L249" s="590"/>
      <c r="M249" s="498"/>
      <c r="N249" s="605">
        <f>'RAB 2.2.7'!Q27</f>
        <v>1050000</v>
      </c>
      <c r="O249" s="637"/>
    </row>
    <row r="250" spans="1:15" s="242" customFormat="1" ht="15" customHeight="1">
      <c r="A250" s="497"/>
      <c r="B250" s="426"/>
      <c r="C250" s="426"/>
      <c r="D250" s="426"/>
      <c r="E250" s="600" t="s">
        <v>14</v>
      </c>
      <c r="F250" s="759" t="s">
        <v>77</v>
      </c>
      <c r="G250" s="759"/>
      <c r="H250" s="590"/>
      <c r="I250" s="590"/>
      <c r="J250" s="590"/>
      <c r="K250" s="590"/>
      <c r="L250" s="590"/>
      <c r="M250" s="498"/>
      <c r="N250" s="605">
        <f>'RAB 2.2.7'!Q31</f>
        <v>86500</v>
      </c>
      <c r="O250" s="637"/>
    </row>
    <row r="251" spans="1:15" s="242" customFormat="1" ht="15" customHeight="1">
      <c r="A251" s="497"/>
      <c r="B251" s="426"/>
      <c r="C251" s="426"/>
      <c r="D251" s="426"/>
      <c r="E251" s="600" t="s">
        <v>14</v>
      </c>
      <c r="F251" s="759" t="s">
        <v>178</v>
      </c>
      <c r="G251" s="759"/>
      <c r="H251" s="590"/>
      <c r="I251" s="590"/>
      <c r="J251" s="590"/>
      <c r="K251" s="590"/>
      <c r="L251" s="590"/>
      <c r="M251" s="498"/>
      <c r="N251" s="605">
        <f>'RAB 2.2.7'!Q36</f>
        <v>100000</v>
      </c>
      <c r="O251" s="637"/>
    </row>
    <row r="252" spans="1:15" s="242" customFormat="1" ht="15" customHeight="1">
      <c r="A252" s="497">
        <v>2</v>
      </c>
      <c r="B252" s="426">
        <v>2</v>
      </c>
      <c r="C252" s="426">
        <v>7</v>
      </c>
      <c r="D252" s="426">
        <v>3</v>
      </c>
      <c r="E252" s="600" t="s">
        <v>14</v>
      </c>
      <c r="F252" s="590" t="s">
        <v>60</v>
      </c>
      <c r="G252" s="590"/>
      <c r="H252" s="590"/>
      <c r="I252" s="590"/>
      <c r="J252" s="590"/>
      <c r="K252" s="590"/>
      <c r="L252" s="590"/>
      <c r="M252" s="498"/>
      <c r="N252" s="598">
        <f>N253</f>
        <v>15000000</v>
      </c>
      <c r="O252" s="637"/>
    </row>
    <row r="253" spans="1:15" s="242" customFormat="1" ht="15" customHeight="1">
      <c r="A253" s="497"/>
      <c r="B253" s="426"/>
      <c r="C253" s="426"/>
      <c r="D253" s="426"/>
      <c r="E253" s="600"/>
      <c r="F253" s="609" t="s">
        <v>14</v>
      </c>
      <c r="G253" s="590" t="s">
        <v>527</v>
      </c>
      <c r="H253" s="590"/>
      <c r="I253" s="590"/>
      <c r="J253" s="590"/>
      <c r="K253" s="590"/>
      <c r="L253" s="590"/>
      <c r="M253" s="498"/>
      <c r="N253" s="605">
        <f>'RAB 2.2.7'!Q40</f>
        <v>15000000</v>
      </c>
      <c r="O253" s="637"/>
    </row>
    <row r="254" spans="1:15" s="242" customFormat="1" ht="15" customHeight="1">
      <c r="A254" s="451"/>
      <c r="B254" s="451"/>
      <c r="C254" s="451"/>
      <c r="D254" s="451"/>
      <c r="E254" s="641"/>
      <c r="F254" s="652"/>
      <c r="G254" s="616"/>
      <c r="H254" s="616"/>
      <c r="I254" s="616"/>
      <c r="J254" s="616"/>
      <c r="K254" s="616"/>
      <c r="L254" s="616"/>
      <c r="M254" s="451"/>
      <c r="N254" s="642"/>
      <c r="O254" s="643"/>
    </row>
    <row r="255" spans="1:15" s="242" customFormat="1" ht="15" customHeight="1">
      <c r="A255" s="286"/>
      <c r="B255" s="286"/>
      <c r="C255" s="286"/>
      <c r="D255" s="286"/>
      <c r="E255" s="644"/>
      <c r="F255" s="653"/>
      <c r="G255" s="655"/>
      <c r="H255" s="655"/>
      <c r="I255" s="655"/>
      <c r="J255" s="655"/>
      <c r="K255" s="655"/>
      <c r="L255" s="655"/>
      <c r="M255" s="286"/>
      <c r="N255" s="645"/>
      <c r="O255" s="646"/>
    </row>
    <row r="256" spans="1:15" s="242" customFormat="1" ht="15" customHeight="1">
      <c r="A256" s="286"/>
      <c r="B256" s="286"/>
      <c r="C256" s="286"/>
      <c r="D256" s="286"/>
      <c r="E256" s="644"/>
      <c r="F256" s="653"/>
      <c r="G256" s="655"/>
      <c r="H256" s="655"/>
      <c r="I256" s="655"/>
      <c r="J256" s="655"/>
      <c r="K256" s="655"/>
      <c r="L256" s="655"/>
      <c r="M256" s="286"/>
      <c r="N256" s="645"/>
      <c r="O256" s="646"/>
    </row>
    <row r="257" spans="1:15" s="242" customFormat="1" ht="15" customHeight="1">
      <c r="A257" s="286"/>
      <c r="B257" s="286"/>
      <c r="C257" s="286"/>
      <c r="D257" s="286"/>
      <c r="E257" s="644"/>
      <c r="F257" s="653"/>
      <c r="G257" s="655"/>
      <c r="H257" s="655"/>
      <c r="I257" s="655"/>
      <c r="J257" s="655"/>
      <c r="K257" s="655"/>
      <c r="L257" s="655"/>
      <c r="M257" s="286"/>
      <c r="N257" s="645"/>
      <c r="O257" s="646"/>
    </row>
    <row r="258" spans="1:15" s="242" customFormat="1" ht="15" customHeight="1">
      <c r="A258" s="286"/>
      <c r="B258" s="286"/>
      <c r="C258" s="286"/>
      <c r="D258" s="286"/>
      <c r="E258" s="644"/>
      <c r="F258" s="653"/>
      <c r="G258" s="655"/>
      <c r="H258" s="655"/>
      <c r="I258" s="655"/>
      <c r="J258" s="655"/>
      <c r="K258" s="655"/>
      <c r="L258" s="655"/>
      <c r="M258" s="286"/>
      <c r="N258" s="645"/>
      <c r="O258" s="646"/>
    </row>
    <row r="259" spans="1:15" s="242" customFormat="1" ht="15" customHeight="1">
      <c r="A259" s="286"/>
      <c r="B259" s="286"/>
      <c r="C259" s="286"/>
      <c r="D259" s="286"/>
      <c r="E259" s="644"/>
      <c r="F259" s="653"/>
      <c r="G259" s="655"/>
      <c r="H259" s="655"/>
      <c r="I259" s="655"/>
      <c r="J259" s="655"/>
      <c r="K259" s="655"/>
      <c r="L259" s="655"/>
      <c r="M259" s="286"/>
      <c r="N259" s="645"/>
      <c r="O259" s="646"/>
    </row>
    <row r="260" spans="1:15" s="242" customFormat="1" ht="15" customHeight="1">
      <c r="A260" s="286"/>
      <c r="B260" s="286"/>
      <c r="C260" s="286"/>
      <c r="D260" s="286"/>
      <c r="E260" s="644"/>
      <c r="F260" s="653"/>
      <c r="G260" s="655"/>
      <c r="H260" s="655"/>
      <c r="I260" s="655"/>
      <c r="J260" s="655"/>
      <c r="K260" s="655"/>
      <c r="L260" s="655"/>
      <c r="M260" s="286"/>
      <c r="N260" s="645"/>
      <c r="O260" s="646"/>
    </row>
    <row r="261" spans="1:15" s="242" customFormat="1" ht="15" customHeight="1">
      <c r="A261" s="286"/>
      <c r="B261" s="286"/>
      <c r="C261" s="286"/>
      <c r="D261" s="286"/>
      <c r="E261" s="644"/>
      <c r="F261" s="653"/>
      <c r="G261" s="655"/>
      <c r="H261" s="655"/>
      <c r="I261" s="655"/>
      <c r="J261" s="655"/>
      <c r="K261" s="655"/>
      <c r="L261" s="655"/>
      <c r="M261" s="286"/>
      <c r="N261" s="645"/>
      <c r="O261" s="646"/>
    </row>
    <row r="262" spans="1:15" s="242" customFormat="1" ht="15" customHeight="1">
      <c r="A262" s="286"/>
      <c r="B262" s="286"/>
      <c r="C262" s="286"/>
      <c r="D262" s="286"/>
      <c r="E262" s="644"/>
      <c r="F262" s="653"/>
      <c r="G262" s="655"/>
      <c r="H262" s="655"/>
      <c r="I262" s="655"/>
      <c r="J262" s="655"/>
      <c r="K262" s="655"/>
      <c r="L262" s="655"/>
      <c r="M262" s="286"/>
      <c r="N262" s="645"/>
      <c r="O262" s="646"/>
    </row>
    <row r="263" spans="1:15" s="242" customFormat="1" ht="15" customHeight="1">
      <c r="A263" s="670"/>
      <c r="B263" s="670"/>
      <c r="C263" s="670"/>
      <c r="D263" s="670"/>
      <c r="E263" s="647"/>
      <c r="F263" s="677"/>
      <c r="G263" s="617"/>
      <c r="H263" s="617"/>
      <c r="I263" s="617"/>
      <c r="J263" s="617"/>
      <c r="K263" s="617"/>
      <c r="L263" s="617"/>
      <c r="M263" s="670"/>
      <c r="N263" s="648"/>
      <c r="O263" s="649"/>
    </row>
    <row r="264" spans="1:15" s="242" customFormat="1" ht="15" customHeight="1">
      <c r="A264" s="497">
        <v>2</v>
      </c>
      <c r="B264" s="426">
        <v>2</v>
      </c>
      <c r="C264" s="426">
        <v>15</v>
      </c>
      <c r="D264" s="426"/>
      <c r="E264" s="593" t="s">
        <v>321</v>
      </c>
      <c r="F264" s="594"/>
      <c r="G264" s="594"/>
      <c r="H264" s="594"/>
      <c r="I264" s="594"/>
      <c r="J264" s="594"/>
      <c r="K264" s="594"/>
      <c r="L264" s="594"/>
      <c r="M264" s="498"/>
      <c r="N264" s="598">
        <f>SUM(N265+N271)</f>
        <v>171919050.40000001</v>
      </c>
      <c r="O264" s="637" t="s">
        <v>286</v>
      </c>
    </row>
    <row r="265" spans="1:15" s="242" customFormat="1" ht="15" customHeight="1">
      <c r="A265" s="497">
        <v>2</v>
      </c>
      <c r="B265" s="426">
        <v>2</v>
      </c>
      <c r="C265" s="426">
        <v>15</v>
      </c>
      <c r="D265" s="426">
        <v>1</v>
      </c>
      <c r="E265" s="758" t="s">
        <v>29</v>
      </c>
      <c r="F265" s="759"/>
      <c r="G265" s="759"/>
      <c r="H265" s="759"/>
      <c r="I265" s="759"/>
      <c r="J265" s="759"/>
      <c r="K265" s="759"/>
      <c r="L265" s="759"/>
      <c r="M265" s="606"/>
      <c r="N265" s="598">
        <f>SUM(N267:N269)</f>
        <v>41795000</v>
      </c>
      <c r="O265" s="637"/>
    </row>
    <row r="266" spans="1:15" s="242" customFormat="1" ht="15" customHeight="1">
      <c r="A266" s="497"/>
      <c r="B266" s="426"/>
      <c r="C266" s="426"/>
      <c r="D266" s="426"/>
      <c r="E266" s="600" t="s">
        <v>14</v>
      </c>
      <c r="F266" s="759" t="s">
        <v>502</v>
      </c>
      <c r="G266" s="759"/>
      <c r="H266" s="759"/>
      <c r="I266" s="759"/>
      <c r="J266" s="759"/>
      <c r="K266" s="759"/>
      <c r="L266" s="759"/>
      <c r="M266" s="498"/>
      <c r="N266" s="605"/>
      <c r="O266" s="637"/>
    </row>
    <row r="267" spans="1:15" s="242" customFormat="1" ht="15" customHeight="1">
      <c r="A267" s="497"/>
      <c r="B267" s="426"/>
      <c r="C267" s="426"/>
      <c r="D267" s="426"/>
      <c r="E267" s="600"/>
      <c r="F267" s="590" t="str">
        <f>'RAB 2.2.15'!I19</f>
        <v>- Pekerja</v>
      </c>
      <c r="G267" s="590"/>
      <c r="H267" s="590"/>
      <c r="I267" s="590"/>
      <c r="J267" s="590"/>
      <c r="K267" s="590"/>
      <c r="L267" s="590"/>
      <c r="M267" s="498"/>
      <c r="N267" s="605">
        <f>'RAB 2.2.15'!S19</f>
        <v>27240000</v>
      </c>
      <c r="O267" s="637"/>
    </row>
    <row r="268" spans="1:15" s="242" customFormat="1" ht="15" customHeight="1">
      <c r="A268" s="497"/>
      <c r="B268" s="426"/>
      <c r="C268" s="426"/>
      <c r="D268" s="426"/>
      <c r="E268" s="600"/>
      <c r="F268" s="590" t="str">
        <f>'RAB 2.2.15'!I20</f>
        <v>- Tukang</v>
      </c>
      <c r="G268" s="590"/>
      <c r="H268" s="590"/>
      <c r="I268" s="590"/>
      <c r="J268" s="590"/>
      <c r="K268" s="590"/>
      <c r="L268" s="590"/>
      <c r="M268" s="498"/>
      <c r="N268" s="605">
        <f>'RAB 2.2.15'!S20</f>
        <v>12090000</v>
      </c>
      <c r="O268" s="637"/>
    </row>
    <row r="269" spans="1:15" s="242" customFormat="1" ht="15" customHeight="1">
      <c r="A269" s="497"/>
      <c r="B269" s="426"/>
      <c r="C269" s="426"/>
      <c r="D269" s="426"/>
      <c r="E269" s="600"/>
      <c r="F269" s="590" t="str">
        <f>'RAB 2.2.15'!I21</f>
        <v>- Ka. Kelompok</v>
      </c>
      <c r="G269" s="590"/>
      <c r="H269" s="590"/>
      <c r="I269" s="590"/>
      <c r="J269" s="590"/>
      <c r="K269" s="590"/>
      <c r="L269" s="590"/>
      <c r="M269" s="498"/>
      <c r="N269" s="605">
        <f>'RAB 2.2.15'!S21</f>
        <v>2465000</v>
      </c>
      <c r="O269" s="637"/>
    </row>
    <row r="270" spans="1:15" s="242" customFormat="1" ht="15" customHeight="1">
      <c r="A270" s="497"/>
      <c r="B270" s="426"/>
      <c r="C270" s="426"/>
      <c r="D270" s="426"/>
      <c r="E270" s="600"/>
      <c r="F270" s="590"/>
      <c r="G270" s="590"/>
      <c r="H270" s="590"/>
      <c r="I270" s="590"/>
      <c r="J270" s="590"/>
      <c r="K270" s="590"/>
      <c r="L270" s="590"/>
      <c r="M270" s="498"/>
      <c r="N270" s="605"/>
      <c r="O270" s="637"/>
    </row>
    <row r="271" spans="1:15" s="242" customFormat="1" ht="15" customHeight="1">
      <c r="A271" s="497">
        <v>2</v>
      </c>
      <c r="B271" s="426">
        <v>2</v>
      </c>
      <c r="C271" s="426">
        <v>15</v>
      </c>
      <c r="D271" s="426">
        <v>2</v>
      </c>
      <c r="E271" s="758" t="s">
        <v>503</v>
      </c>
      <c r="F271" s="759"/>
      <c r="G271" s="759"/>
      <c r="H271" s="759"/>
      <c r="I271" s="759"/>
      <c r="J271" s="759"/>
      <c r="K271" s="759"/>
      <c r="L271" s="759"/>
      <c r="M271" s="498"/>
      <c r="N271" s="598">
        <f>SUM(N272:N312)</f>
        <v>130124050.40000001</v>
      </c>
      <c r="O271" s="637"/>
    </row>
    <row r="272" spans="1:15" s="242" customFormat="1" ht="15" customHeight="1">
      <c r="A272" s="497"/>
      <c r="B272" s="426"/>
      <c r="C272" s="426"/>
      <c r="D272" s="426"/>
      <c r="E272" s="607"/>
      <c r="F272" s="590" t="str">
        <f>'RAB 2.2.15'!I24</f>
        <v>Pasir Pasang</v>
      </c>
      <c r="G272" s="590"/>
      <c r="H272" s="590"/>
      <c r="I272" s="590"/>
      <c r="J272" s="590"/>
      <c r="K272" s="590"/>
      <c r="L272" s="590"/>
      <c r="M272" s="498"/>
      <c r="N272" s="612">
        <f>'RAB 2.2.15'!S24</f>
        <v>15180000</v>
      </c>
      <c r="O272" s="637"/>
    </row>
    <row r="273" spans="1:15" s="242" customFormat="1" ht="15" customHeight="1">
      <c r="A273" s="497"/>
      <c r="B273" s="426"/>
      <c r="C273" s="426"/>
      <c r="D273" s="426"/>
      <c r="E273" s="607"/>
      <c r="F273" s="590" t="str">
        <f>'RAB 2.2.15'!I25</f>
        <v>Batu Gunung</v>
      </c>
      <c r="G273" s="590"/>
      <c r="H273" s="590"/>
      <c r="I273" s="590"/>
      <c r="J273" s="590"/>
      <c r="K273" s="590"/>
      <c r="L273" s="590"/>
      <c r="M273" s="498"/>
      <c r="N273" s="612">
        <f>'RAB 2.2.15'!S25</f>
        <v>5970800</v>
      </c>
      <c r="O273" s="637"/>
    </row>
    <row r="274" spans="1:15" s="242" customFormat="1" ht="15" customHeight="1">
      <c r="A274" s="497"/>
      <c r="B274" s="426"/>
      <c r="C274" s="426"/>
      <c r="D274" s="426"/>
      <c r="E274" s="607"/>
      <c r="F274" s="590" t="str">
        <f>'RAB 2.2.15'!I26</f>
        <v>Semen</v>
      </c>
      <c r="G274" s="590"/>
      <c r="H274" s="590"/>
      <c r="I274" s="590"/>
      <c r="J274" s="590"/>
      <c r="K274" s="590"/>
      <c r="L274" s="590"/>
      <c r="M274" s="498"/>
      <c r="N274" s="612">
        <f>'RAB 2.2.15'!S26</f>
        <v>28405000</v>
      </c>
      <c r="O274" s="637"/>
    </row>
    <row r="275" spans="1:15" s="242" customFormat="1" ht="15" customHeight="1">
      <c r="A275" s="497"/>
      <c r="B275" s="426"/>
      <c r="C275" s="426"/>
      <c r="D275" s="426"/>
      <c r="E275" s="607"/>
      <c r="F275" s="590" t="str">
        <f>'RAB 2.2.15'!I27</f>
        <v>Pasir urung</v>
      </c>
      <c r="G275" s="590"/>
      <c r="H275" s="590"/>
      <c r="I275" s="590"/>
      <c r="J275" s="590"/>
      <c r="K275" s="590"/>
      <c r="L275" s="590"/>
      <c r="M275" s="498"/>
      <c r="N275" s="612">
        <f>'RAB 2.2.15'!S27</f>
        <v>2550000</v>
      </c>
      <c r="O275" s="637"/>
    </row>
    <row r="276" spans="1:15" s="242" customFormat="1" ht="15" customHeight="1">
      <c r="A276" s="497"/>
      <c r="B276" s="426"/>
      <c r="C276" s="426"/>
      <c r="D276" s="426"/>
      <c r="E276" s="607"/>
      <c r="F276" s="590" t="str">
        <f>'RAB 2.2.15'!I28</f>
        <v>Batu Bata</v>
      </c>
      <c r="G276" s="590"/>
      <c r="H276" s="590"/>
      <c r="I276" s="590"/>
      <c r="J276" s="590"/>
      <c r="K276" s="590"/>
      <c r="L276" s="590"/>
      <c r="M276" s="498"/>
      <c r="N276" s="612">
        <f>'RAB 2.2.15'!S28</f>
        <v>20028000</v>
      </c>
      <c r="O276" s="637"/>
    </row>
    <row r="277" spans="1:15" s="242" customFormat="1" ht="15" customHeight="1">
      <c r="A277" s="497"/>
      <c r="B277" s="426"/>
      <c r="C277" s="426"/>
      <c r="D277" s="426"/>
      <c r="E277" s="607"/>
      <c r="F277" s="590" t="str">
        <f>'RAB 2.2.15'!I29</f>
        <v>Kerikil</v>
      </c>
      <c r="G277" s="590"/>
      <c r="H277" s="590"/>
      <c r="I277" s="590"/>
      <c r="J277" s="590"/>
      <c r="K277" s="590"/>
      <c r="L277" s="590"/>
      <c r="M277" s="498"/>
      <c r="N277" s="612">
        <f>'RAB 2.2.15'!S29</f>
        <v>7775000</v>
      </c>
      <c r="O277" s="637"/>
    </row>
    <row r="278" spans="1:15" s="242" customFormat="1" ht="15" customHeight="1">
      <c r="A278" s="497"/>
      <c r="B278" s="426"/>
      <c r="C278" s="426"/>
      <c r="D278" s="426"/>
      <c r="E278" s="607"/>
      <c r="F278" s="590" t="str">
        <f>'RAB 2.2.15'!I30</f>
        <v>Keramik 20/20</v>
      </c>
      <c r="G278" s="590"/>
      <c r="H278" s="590"/>
      <c r="I278" s="590"/>
      <c r="J278" s="590"/>
      <c r="K278" s="590"/>
      <c r="L278" s="590"/>
      <c r="M278" s="498"/>
      <c r="N278" s="612">
        <f>'RAB 2.2.15'!S30</f>
        <v>1140000</v>
      </c>
      <c r="O278" s="637"/>
    </row>
    <row r="279" spans="1:15" s="242" customFormat="1" ht="15" customHeight="1">
      <c r="A279" s="497"/>
      <c r="B279" s="426"/>
      <c r="C279" s="426"/>
      <c r="D279" s="426"/>
      <c r="E279" s="607"/>
      <c r="F279" s="590" t="str">
        <f>'RAB 2.2.15'!I31</f>
        <v>Keramik 40/40</v>
      </c>
      <c r="G279" s="590"/>
      <c r="H279" s="590"/>
      <c r="I279" s="590"/>
      <c r="J279" s="590"/>
      <c r="K279" s="590"/>
      <c r="L279" s="590"/>
      <c r="M279" s="498"/>
      <c r="N279" s="612">
        <f>'RAB 2.2.15'!S31</f>
        <v>6300000</v>
      </c>
      <c r="O279" s="637"/>
    </row>
    <row r="280" spans="1:15" s="242" customFormat="1" ht="15" customHeight="1">
      <c r="A280" s="497"/>
      <c r="B280" s="426"/>
      <c r="C280" s="426"/>
      <c r="D280" s="426"/>
      <c r="E280" s="607"/>
      <c r="F280" s="590" t="str">
        <f>'RAB 2.2.15'!I32</f>
        <v>Papan 2/20</v>
      </c>
      <c r="G280" s="590"/>
      <c r="H280" s="590"/>
      <c r="I280" s="590"/>
      <c r="J280" s="590"/>
      <c r="K280" s="590"/>
      <c r="L280" s="590"/>
      <c r="M280" s="498"/>
      <c r="N280" s="612">
        <f>'RAB 2.2.15'!S32</f>
        <v>1920000</v>
      </c>
      <c r="O280" s="637"/>
    </row>
    <row r="281" spans="1:15" s="242" customFormat="1" ht="15" customHeight="1">
      <c r="A281" s="497"/>
      <c r="B281" s="426"/>
      <c r="C281" s="426"/>
      <c r="D281" s="426"/>
      <c r="E281" s="607"/>
      <c r="F281" s="590" t="str">
        <f>'RAB 2.2.15'!I33</f>
        <v>Balok 6/12</v>
      </c>
      <c r="G281" s="590"/>
      <c r="H281" s="590"/>
      <c r="I281" s="590"/>
      <c r="J281" s="590"/>
      <c r="K281" s="590"/>
      <c r="L281" s="590"/>
      <c r="M281" s="498"/>
      <c r="N281" s="612">
        <f>'RAB 2.2.15'!S33</f>
        <v>12680000</v>
      </c>
      <c r="O281" s="637"/>
    </row>
    <row r="282" spans="1:15" s="242" customFormat="1" ht="15" customHeight="1">
      <c r="A282" s="497"/>
      <c r="B282" s="426"/>
      <c r="C282" s="426"/>
      <c r="D282" s="426"/>
      <c r="E282" s="607"/>
      <c r="F282" s="590" t="str">
        <f>'RAB 2.2.15'!I34</f>
        <v>Balok 5/7</v>
      </c>
      <c r="G282" s="590"/>
      <c r="H282" s="590"/>
      <c r="I282" s="590"/>
      <c r="J282" s="590"/>
      <c r="K282" s="590"/>
      <c r="L282" s="590"/>
      <c r="M282" s="498"/>
      <c r="N282" s="613">
        <v>5790.4</v>
      </c>
      <c r="O282" s="637"/>
    </row>
    <row r="283" spans="1:15" s="242" customFormat="1" ht="15" customHeight="1">
      <c r="A283" s="497"/>
      <c r="B283" s="426"/>
      <c r="C283" s="426"/>
      <c r="D283" s="426"/>
      <c r="E283" s="607"/>
      <c r="F283" s="590" t="str">
        <f>'RAB 2.2.15'!I35</f>
        <v>Paku Kayu</v>
      </c>
      <c r="G283" s="590"/>
      <c r="H283" s="590"/>
      <c r="I283" s="590"/>
      <c r="J283" s="590"/>
      <c r="K283" s="590"/>
      <c r="L283" s="590"/>
      <c r="M283" s="498"/>
      <c r="N283" s="612">
        <f>'RAB 2.2.15'!S35</f>
        <v>200000</v>
      </c>
      <c r="O283" s="637"/>
    </row>
    <row r="284" spans="1:15" s="242" customFormat="1" ht="15" customHeight="1">
      <c r="A284" s="497"/>
      <c r="B284" s="426"/>
      <c r="C284" s="426"/>
      <c r="D284" s="426"/>
      <c r="E284" s="607"/>
      <c r="F284" s="590" t="str">
        <f>'RAB 2.2.15'!I36</f>
        <v>Seng</v>
      </c>
      <c r="G284" s="590"/>
      <c r="H284" s="590"/>
      <c r="I284" s="590"/>
      <c r="J284" s="590"/>
      <c r="K284" s="590"/>
      <c r="L284" s="590"/>
      <c r="M284" s="498"/>
      <c r="N284" s="612">
        <f>'RAB 2.2.15'!S36</f>
        <v>7416500</v>
      </c>
      <c r="O284" s="637"/>
    </row>
    <row r="285" spans="1:15" s="242" customFormat="1" ht="15" customHeight="1">
      <c r="A285" s="497"/>
      <c r="B285" s="426"/>
      <c r="C285" s="426"/>
      <c r="D285" s="426"/>
      <c r="E285" s="607"/>
      <c r="F285" s="590" t="str">
        <f>'RAB 2.2.15'!I37</f>
        <v>Nok Seng</v>
      </c>
      <c r="G285" s="590"/>
      <c r="H285" s="590"/>
      <c r="I285" s="590"/>
      <c r="J285" s="590"/>
      <c r="K285" s="590"/>
      <c r="L285" s="590"/>
      <c r="M285" s="498"/>
      <c r="N285" s="612">
        <f>'RAB 2.2.15'!S37</f>
        <v>550000</v>
      </c>
      <c r="O285" s="637"/>
    </row>
    <row r="286" spans="1:15" s="242" customFormat="1" ht="15" customHeight="1">
      <c r="A286" s="497"/>
      <c r="B286" s="426"/>
      <c r="C286" s="426"/>
      <c r="D286" s="426"/>
      <c r="E286" s="607"/>
      <c r="F286" s="590" t="str">
        <f>'RAB 2.2.15'!I38</f>
        <v>Paku Seng</v>
      </c>
      <c r="G286" s="590"/>
      <c r="H286" s="590"/>
      <c r="I286" s="590"/>
      <c r="J286" s="590"/>
      <c r="K286" s="590"/>
      <c r="L286" s="590"/>
      <c r="M286" s="498"/>
      <c r="N286" s="612">
        <f>'RAB 2.2.15'!S38</f>
        <v>136500</v>
      </c>
      <c r="O286" s="637"/>
    </row>
    <row r="287" spans="1:15" s="242" customFormat="1" ht="15" customHeight="1">
      <c r="A287" s="497"/>
      <c r="B287" s="426"/>
      <c r="C287" s="426"/>
      <c r="D287" s="426"/>
      <c r="E287" s="607"/>
      <c r="F287" s="590" t="str">
        <f>'RAB 2.2.15'!I39</f>
        <v>Kaca t=5 mm</v>
      </c>
      <c r="G287" s="590"/>
      <c r="H287" s="590"/>
      <c r="I287" s="590"/>
      <c r="J287" s="590"/>
      <c r="K287" s="590"/>
      <c r="L287" s="590"/>
      <c r="M287" s="498"/>
      <c r="N287" s="612">
        <f>'RAB 2.2.15'!S39</f>
        <v>2261700</v>
      </c>
      <c r="O287" s="637"/>
    </row>
    <row r="288" spans="1:15" s="242" customFormat="1" ht="15" customHeight="1">
      <c r="A288" s="497"/>
      <c r="B288" s="426"/>
      <c r="C288" s="426"/>
      <c r="D288" s="426"/>
      <c r="E288" s="607"/>
      <c r="F288" s="590" t="str">
        <f>'RAB 2.2.15'!I40</f>
        <v>Besi Beton D 10 mm</v>
      </c>
      <c r="G288" s="590"/>
      <c r="H288" s="590"/>
      <c r="I288" s="590"/>
      <c r="J288" s="590"/>
      <c r="K288" s="590"/>
      <c r="L288" s="590"/>
      <c r="M288" s="498"/>
      <c r="N288" s="612">
        <f>'RAB 2.2.15'!S40</f>
        <v>5135000</v>
      </c>
      <c r="O288" s="637"/>
    </row>
    <row r="289" spans="1:15" s="242" customFormat="1" ht="15" customHeight="1">
      <c r="A289" s="497"/>
      <c r="B289" s="426"/>
      <c r="C289" s="426"/>
      <c r="D289" s="426"/>
      <c r="E289" s="607"/>
      <c r="F289" s="590" t="str">
        <f>'RAB 2.2.15'!I41</f>
        <v>Besi Beton D 6 mm</v>
      </c>
      <c r="G289" s="590"/>
      <c r="H289" s="590"/>
      <c r="I289" s="590"/>
      <c r="J289" s="590"/>
      <c r="K289" s="590"/>
      <c r="L289" s="590"/>
      <c r="M289" s="498"/>
      <c r="N289" s="612">
        <f>'RAB 2.2.15'!S41</f>
        <v>1012000</v>
      </c>
      <c r="O289" s="637"/>
    </row>
    <row r="290" spans="1:15" s="242" customFormat="1" ht="15" customHeight="1">
      <c r="A290" s="497"/>
      <c r="B290" s="426"/>
      <c r="C290" s="426"/>
      <c r="D290" s="426"/>
      <c r="E290" s="607"/>
      <c r="F290" s="590" t="str">
        <f>'RAB 2.2.15'!I42</f>
        <v>Bendrat</v>
      </c>
      <c r="G290" s="590"/>
      <c r="H290" s="590"/>
      <c r="I290" s="590"/>
      <c r="J290" s="590"/>
      <c r="K290" s="590"/>
      <c r="L290" s="590"/>
      <c r="M290" s="498"/>
      <c r="N290" s="612">
        <f>'RAB 2.2.15'!S42</f>
        <v>180000</v>
      </c>
      <c r="O290" s="637"/>
    </row>
    <row r="291" spans="1:15" s="242" customFormat="1" ht="15" customHeight="1">
      <c r="A291" s="497"/>
      <c r="B291" s="426"/>
      <c r="C291" s="426"/>
      <c r="D291" s="426"/>
      <c r="E291" s="607"/>
      <c r="F291" s="590" t="str">
        <f>'RAB 2.2.15'!I43</f>
        <v>Cat Kayu</v>
      </c>
      <c r="G291" s="590"/>
      <c r="H291" s="590"/>
      <c r="I291" s="590"/>
      <c r="J291" s="590"/>
      <c r="K291" s="590"/>
      <c r="L291" s="590"/>
      <c r="M291" s="498"/>
      <c r="N291" s="612">
        <f>'RAB 2.2.15'!S43</f>
        <v>360000</v>
      </c>
      <c r="O291" s="637"/>
    </row>
    <row r="292" spans="1:15" s="242" customFormat="1" ht="15" customHeight="1">
      <c r="A292" s="497"/>
      <c r="B292" s="426"/>
      <c r="C292" s="426"/>
      <c r="D292" s="426"/>
      <c r="E292" s="607"/>
      <c r="F292" s="590" t="str">
        <f>'RAB 2.2.15'!I44</f>
        <v>Cat Tembok</v>
      </c>
      <c r="G292" s="590"/>
      <c r="H292" s="590"/>
      <c r="I292" s="590"/>
      <c r="J292" s="590"/>
      <c r="K292" s="590"/>
      <c r="L292" s="590"/>
      <c r="M292" s="498"/>
      <c r="N292" s="612">
        <f>'RAB 2.2.15'!S44</f>
        <v>1100000</v>
      </c>
      <c r="O292" s="637"/>
    </row>
    <row r="293" spans="1:15" s="242" customFormat="1" ht="15" customHeight="1">
      <c r="A293" s="497"/>
      <c r="B293" s="426"/>
      <c r="C293" s="426"/>
      <c r="D293" s="426"/>
      <c r="E293" s="607"/>
      <c r="F293" s="590" t="str">
        <f>'RAB 2.2.15'!I45</f>
        <v>Menie Kayu</v>
      </c>
      <c r="G293" s="590"/>
      <c r="H293" s="590"/>
      <c r="I293" s="590"/>
      <c r="J293" s="590"/>
      <c r="K293" s="590"/>
      <c r="L293" s="590"/>
      <c r="M293" s="498"/>
      <c r="N293" s="612">
        <f>'RAB 2.2.15'!S45</f>
        <v>202500</v>
      </c>
      <c r="O293" s="637"/>
    </row>
    <row r="294" spans="1:15" s="242" customFormat="1" ht="15" customHeight="1">
      <c r="A294" s="497"/>
      <c r="B294" s="426"/>
      <c r="C294" s="426"/>
      <c r="D294" s="426"/>
      <c r="E294" s="607"/>
      <c r="F294" s="590" t="str">
        <f>'RAB 2.2.15'!I46</f>
        <v>Pintu PVC</v>
      </c>
      <c r="G294" s="590"/>
      <c r="H294" s="590"/>
      <c r="I294" s="590"/>
      <c r="J294" s="590"/>
      <c r="K294" s="590"/>
      <c r="L294" s="590"/>
      <c r="M294" s="498"/>
      <c r="N294" s="612">
        <f>'RAB 2.2.15'!S46</f>
        <v>600000</v>
      </c>
      <c r="O294" s="637"/>
    </row>
    <row r="295" spans="1:15" s="242" customFormat="1" ht="15" customHeight="1">
      <c r="A295" s="497"/>
      <c r="B295" s="426"/>
      <c r="C295" s="426"/>
      <c r="D295" s="426"/>
      <c r="E295" s="607"/>
      <c r="F295" s="590" t="str">
        <f>'RAB 2.2.15'!I47</f>
        <v>Kayu Bekisting Kls III</v>
      </c>
      <c r="G295" s="590"/>
      <c r="H295" s="590"/>
      <c r="I295" s="590"/>
      <c r="J295" s="590"/>
      <c r="K295" s="590"/>
      <c r="L295" s="590"/>
      <c r="M295" s="498"/>
      <c r="N295" s="612">
        <f>'RAB 2.2.15'!S47</f>
        <v>1500000</v>
      </c>
      <c r="O295" s="637"/>
    </row>
    <row r="296" spans="1:15" s="242" customFormat="1" ht="15" customHeight="1">
      <c r="A296" s="497"/>
      <c r="B296" s="426"/>
      <c r="C296" s="426"/>
      <c r="D296" s="426"/>
      <c r="E296" s="607"/>
      <c r="F296" s="590" t="str">
        <f>'RAB 2.2.15'!I48</f>
        <v>Kuncian Pintu</v>
      </c>
      <c r="G296" s="590"/>
      <c r="H296" s="590"/>
      <c r="I296" s="590"/>
      <c r="J296" s="590"/>
      <c r="K296" s="590"/>
      <c r="L296" s="590"/>
      <c r="M296" s="498"/>
      <c r="N296" s="612">
        <f>'RAB 2.2.15'!S48</f>
        <v>180000</v>
      </c>
      <c r="O296" s="637"/>
    </row>
    <row r="297" spans="1:15" s="242" customFormat="1" ht="15" customHeight="1">
      <c r="A297" s="497"/>
      <c r="B297" s="426"/>
      <c r="C297" s="426"/>
      <c r="D297" s="426"/>
      <c r="E297" s="607"/>
      <c r="F297" s="590" t="str">
        <f>'RAB 2.2.15'!I49</f>
        <v>Grandel Pintu</v>
      </c>
      <c r="G297" s="590"/>
      <c r="H297" s="590"/>
      <c r="I297" s="590"/>
      <c r="J297" s="590"/>
      <c r="K297" s="590"/>
      <c r="L297" s="590"/>
      <c r="M297" s="498"/>
      <c r="N297" s="612">
        <f>'RAB 2.2.15'!S49</f>
        <v>99000</v>
      </c>
      <c r="O297" s="637"/>
    </row>
    <row r="298" spans="1:15" s="242" customFormat="1" ht="15" customHeight="1">
      <c r="A298" s="497"/>
      <c r="B298" s="426"/>
      <c r="C298" s="426"/>
      <c r="D298" s="426"/>
      <c r="E298" s="607"/>
      <c r="F298" s="590" t="str">
        <f>'RAB 2.2.15'!I50</f>
        <v>Engsel Pintu</v>
      </c>
      <c r="G298" s="590"/>
      <c r="H298" s="590"/>
      <c r="I298" s="590"/>
      <c r="J298" s="590"/>
      <c r="K298" s="590"/>
      <c r="L298" s="590"/>
      <c r="M298" s="498"/>
      <c r="N298" s="612">
        <f>'RAB 2.2.15'!S50</f>
        <v>344700</v>
      </c>
      <c r="O298" s="637"/>
    </row>
    <row r="299" spans="1:15" s="242" customFormat="1" ht="15" customHeight="1">
      <c r="A299" s="497"/>
      <c r="B299" s="426"/>
      <c r="C299" s="426"/>
      <c r="D299" s="426"/>
      <c r="E299" s="607"/>
      <c r="F299" s="590" t="str">
        <f>'RAB 2.2.15'!I51</f>
        <v>Engsel Jendela</v>
      </c>
      <c r="G299" s="590"/>
      <c r="H299" s="590"/>
      <c r="I299" s="590"/>
      <c r="J299" s="590"/>
      <c r="K299" s="590"/>
      <c r="L299" s="590"/>
      <c r="M299" s="498"/>
      <c r="N299" s="612">
        <f>'RAB 2.2.15'!S51</f>
        <v>309600</v>
      </c>
      <c r="O299" s="637"/>
    </row>
    <row r="300" spans="1:15" s="242" customFormat="1" ht="15" customHeight="1">
      <c r="A300" s="497"/>
      <c r="B300" s="426"/>
      <c r="C300" s="426"/>
      <c r="D300" s="426"/>
      <c r="E300" s="607"/>
      <c r="F300" s="590" t="str">
        <f>'RAB 2.2.15'!I52</f>
        <v>Kait Angin</v>
      </c>
      <c r="G300" s="590"/>
      <c r="H300" s="590"/>
      <c r="I300" s="590"/>
      <c r="J300" s="590"/>
      <c r="K300" s="590"/>
      <c r="L300" s="590"/>
      <c r="M300" s="498"/>
      <c r="N300" s="612">
        <f>'RAB 2.2.15'!S52</f>
        <v>60000</v>
      </c>
      <c r="O300" s="637"/>
    </row>
    <row r="301" spans="1:15" s="242" customFormat="1" ht="15" customHeight="1">
      <c r="A301" s="497"/>
      <c r="B301" s="426"/>
      <c r="C301" s="426"/>
      <c r="D301" s="426"/>
      <c r="E301" s="607"/>
      <c r="F301" s="590" t="str">
        <f>'RAB 2.2.15'!I53</f>
        <v>Closet</v>
      </c>
      <c r="G301" s="590"/>
      <c r="H301" s="590"/>
      <c r="I301" s="590"/>
      <c r="J301" s="590"/>
      <c r="K301" s="590"/>
      <c r="L301" s="590"/>
      <c r="M301" s="498"/>
      <c r="N301" s="612">
        <f>'RAB 2.2.15'!S53</f>
        <v>385960</v>
      </c>
      <c r="O301" s="637"/>
    </row>
    <row r="302" spans="1:15" s="242" customFormat="1" ht="15" customHeight="1">
      <c r="A302" s="497"/>
      <c r="B302" s="426"/>
      <c r="C302" s="426"/>
      <c r="D302" s="426"/>
      <c r="E302" s="607"/>
      <c r="F302" s="590" t="str">
        <f>'RAB 2.2.15'!I54</f>
        <v>Pipa Ø 3"</v>
      </c>
      <c r="G302" s="590"/>
      <c r="H302" s="590"/>
      <c r="I302" s="590"/>
      <c r="J302" s="590"/>
      <c r="K302" s="590"/>
      <c r="L302" s="590"/>
      <c r="M302" s="498"/>
      <c r="N302" s="612">
        <f>'RAB 2.2.15'!S54</f>
        <v>325000</v>
      </c>
      <c r="O302" s="637"/>
    </row>
    <row r="303" spans="1:15" s="242" customFormat="1" ht="15" customHeight="1">
      <c r="A303" s="497"/>
      <c r="B303" s="426"/>
      <c r="C303" s="426"/>
      <c r="D303" s="426"/>
      <c r="E303" s="607"/>
      <c r="F303" s="590" t="str">
        <f>'RAB 2.2.15'!I55</f>
        <v>Ellow Ø 3"</v>
      </c>
      <c r="G303" s="590"/>
      <c r="H303" s="590"/>
      <c r="I303" s="590"/>
      <c r="J303" s="590"/>
      <c r="K303" s="590"/>
      <c r="L303" s="590"/>
      <c r="M303" s="498"/>
      <c r="N303" s="612">
        <f>'RAB 2.2.15'!S55</f>
        <v>26000</v>
      </c>
      <c r="O303" s="637"/>
    </row>
    <row r="304" spans="1:15" s="242" customFormat="1" ht="15" customHeight="1">
      <c r="A304" s="497"/>
      <c r="B304" s="426"/>
      <c r="C304" s="426"/>
      <c r="D304" s="426"/>
      <c r="E304" s="607"/>
      <c r="F304" s="590" t="str">
        <f>'RAB 2.2.15'!I56</f>
        <v>Ellow Ø 1"</v>
      </c>
      <c r="G304" s="590"/>
      <c r="H304" s="590"/>
      <c r="I304" s="590"/>
      <c r="J304" s="590"/>
      <c r="K304" s="590"/>
      <c r="L304" s="590"/>
      <c r="M304" s="498"/>
      <c r="N304" s="612">
        <f>'RAB 2.2.15'!S56</f>
        <v>14000</v>
      </c>
      <c r="O304" s="637"/>
    </row>
    <row r="305" spans="1:17" s="242" customFormat="1" ht="15" customHeight="1">
      <c r="A305" s="497"/>
      <c r="B305" s="426"/>
      <c r="C305" s="426"/>
      <c r="D305" s="426"/>
      <c r="E305" s="607"/>
      <c r="F305" s="590" t="str">
        <f>'RAB 2.2.15'!I57</f>
        <v>Pipa Ø 1/2"</v>
      </c>
      <c r="G305" s="590"/>
      <c r="H305" s="590"/>
      <c r="I305" s="590"/>
      <c r="J305" s="590"/>
      <c r="K305" s="590"/>
      <c r="L305" s="590"/>
      <c r="M305" s="498"/>
      <c r="N305" s="612">
        <f>'RAB 2.2.15'!S57</f>
        <v>100000</v>
      </c>
      <c r="O305" s="637"/>
    </row>
    <row r="306" spans="1:17" s="242" customFormat="1" ht="15" customHeight="1">
      <c r="A306" s="497"/>
      <c r="B306" s="426"/>
      <c r="C306" s="426"/>
      <c r="D306" s="426"/>
      <c r="E306" s="607"/>
      <c r="F306" s="590" t="str">
        <f>'RAB 2.2.15'!I58</f>
        <v>Instalasi Listrik,Lampu Lapangan</v>
      </c>
      <c r="G306" s="590"/>
      <c r="H306" s="590"/>
      <c r="I306" s="590"/>
      <c r="J306" s="590"/>
      <c r="K306" s="590"/>
      <c r="L306" s="590"/>
      <c r="M306" s="498"/>
      <c r="N306" s="612">
        <f>'RAB 2.2.15'!S58</f>
        <v>4500000</v>
      </c>
      <c r="O306" s="637"/>
    </row>
    <row r="307" spans="1:17" s="242" customFormat="1" ht="15" customHeight="1">
      <c r="A307" s="497"/>
      <c r="B307" s="426"/>
      <c r="C307" s="426"/>
      <c r="D307" s="426"/>
      <c r="E307" s="607"/>
      <c r="F307" s="590" t="str">
        <f>'RAB 2.2.15'!I59</f>
        <v>Urinior</v>
      </c>
      <c r="G307" s="590"/>
      <c r="H307" s="590"/>
      <c r="I307" s="590"/>
      <c r="J307" s="590"/>
      <c r="K307" s="590"/>
      <c r="L307" s="590"/>
      <c r="M307" s="498"/>
      <c r="N307" s="612">
        <f>'RAB 2.2.15'!S59</f>
        <v>20000</v>
      </c>
      <c r="O307" s="637"/>
    </row>
    <row r="308" spans="1:17" s="242" customFormat="1" ht="15" customHeight="1">
      <c r="A308" s="497"/>
      <c r="B308" s="426"/>
      <c r="C308" s="426"/>
      <c r="D308" s="426"/>
      <c r="E308" s="607"/>
      <c r="F308" s="590" t="str">
        <f>'RAB 2.2.15'!I60</f>
        <v>Ember Besar</v>
      </c>
      <c r="G308" s="590"/>
      <c r="H308" s="590"/>
      <c r="I308" s="590"/>
      <c r="J308" s="590"/>
      <c r="K308" s="590"/>
      <c r="L308" s="590"/>
      <c r="M308" s="498"/>
      <c r="N308" s="612">
        <f>'RAB 2.2.15'!S60</f>
        <v>100000</v>
      </c>
      <c r="O308" s="637"/>
    </row>
    <row r="309" spans="1:17" s="242" customFormat="1" ht="15" customHeight="1">
      <c r="A309" s="497"/>
      <c r="B309" s="426"/>
      <c r="C309" s="426"/>
      <c r="D309" s="426"/>
      <c r="E309" s="607"/>
      <c r="F309" s="590" t="str">
        <f>'RAB 2.2.15'!I61</f>
        <v>Kran Air</v>
      </c>
      <c r="G309" s="590"/>
      <c r="H309" s="590"/>
      <c r="I309" s="590"/>
      <c r="J309" s="590"/>
      <c r="K309" s="590"/>
      <c r="L309" s="590"/>
      <c r="M309" s="498"/>
      <c r="N309" s="612">
        <f>'RAB 2.2.15'!S61</f>
        <v>27700</v>
      </c>
      <c r="O309" s="637"/>
    </row>
    <row r="310" spans="1:17" s="242" customFormat="1" ht="15" customHeight="1">
      <c r="A310" s="497"/>
      <c r="B310" s="426"/>
      <c r="C310" s="426"/>
      <c r="D310" s="426"/>
      <c r="E310" s="607"/>
      <c r="F310" s="590" t="str">
        <f>'RAB 2.2.15'!I62</f>
        <v>Alat Bantu</v>
      </c>
      <c r="G310" s="590"/>
      <c r="H310" s="590"/>
      <c r="I310" s="590"/>
      <c r="J310" s="590"/>
      <c r="K310" s="590"/>
      <c r="L310" s="590"/>
      <c r="M310" s="498"/>
      <c r="N310" s="612">
        <f>'RAB 2.2.15'!S62</f>
        <v>160000</v>
      </c>
      <c r="O310" s="637"/>
    </row>
    <row r="311" spans="1:17" s="242" customFormat="1" ht="15" customHeight="1">
      <c r="A311" s="497"/>
      <c r="B311" s="426"/>
      <c r="C311" s="426"/>
      <c r="D311" s="426"/>
      <c r="E311" s="607"/>
      <c r="F311" s="590" t="str">
        <f>'RAB 2.2.15'!I63</f>
        <v>Grobak Dorong</v>
      </c>
      <c r="G311" s="590"/>
      <c r="H311" s="590"/>
      <c r="I311" s="590"/>
      <c r="J311" s="590"/>
      <c r="K311" s="590"/>
      <c r="L311" s="590"/>
      <c r="M311" s="498"/>
      <c r="N311" s="612">
        <f>'RAB 2.2.15'!S63</f>
        <v>413300</v>
      </c>
      <c r="O311" s="637"/>
    </row>
    <row r="312" spans="1:17" s="242" customFormat="1" ht="15" customHeight="1">
      <c r="A312" s="497"/>
      <c r="B312" s="426"/>
      <c r="C312" s="426"/>
      <c r="D312" s="426"/>
      <c r="E312" s="607"/>
      <c r="F312" s="590" t="str">
        <f>'RAB 2.2.15'!I64</f>
        <v>Prasasti</v>
      </c>
      <c r="G312" s="590"/>
      <c r="H312" s="590"/>
      <c r="I312" s="590"/>
      <c r="J312" s="590"/>
      <c r="K312" s="590"/>
      <c r="L312" s="590"/>
      <c r="M312" s="498"/>
      <c r="N312" s="612">
        <f>'RAB 2.2.15'!S64</f>
        <v>450000</v>
      </c>
      <c r="O312" s="637"/>
    </row>
    <row r="313" spans="1:17" s="242" customFormat="1" ht="15" customHeight="1">
      <c r="A313" s="497"/>
      <c r="B313" s="426"/>
      <c r="C313" s="426"/>
      <c r="D313" s="426"/>
      <c r="E313" s="600"/>
      <c r="F313" s="590"/>
      <c r="G313" s="590"/>
      <c r="H313" s="590"/>
      <c r="I313" s="590"/>
      <c r="J313" s="590"/>
      <c r="K313" s="590"/>
      <c r="L313" s="590"/>
      <c r="M313" s="498"/>
      <c r="N313" s="605"/>
      <c r="O313" s="637"/>
    </row>
    <row r="314" spans="1:17" s="242" customFormat="1" ht="15" customHeight="1">
      <c r="A314" s="497">
        <v>2</v>
      </c>
      <c r="B314" s="426">
        <v>2</v>
      </c>
      <c r="C314" s="426">
        <v>16</v>
      </c>
      <c r="D314" s="426"/>
      <c r="E314" s="593" t="s">
        <v>395</v>
      </c>
      <c r="F314" s="594"/>
      <c r="G314" s="594"/>
      <c r="H314" s="594"/>
      <c r="I314" s="594"/>
      <c r="J314" s="594"/>
      <c r="K314" s="594"/>
      <c r="L314" s="594"/>
      <c r="M314" s="498"/>
      <c r="N314" s="598">
        <f>SUM(N315+N333)</f>
        <v>118467200</v>
      </c>
      <c r="O314" s="637" t="s">
        <v>286</v>
      </c>
    </row>
    <row r="315" spans="1:17" s="242" customFormat="1" ht="15" customHeight="1">
      <c r="A315" s="497">
        <v>2</v>
      </c>
      <c r="B315" s="426">
        <v>2</v>
      </c>
      <c r="C315" s="426">
        <v>16</v>
      </c>
      <c r="D315" s="426">
        <v>1</v>
      </c>
      <c r="E315" s="758" t="s">
        <v>29</v>
      </c>
      <c r="F315" s="759"/>
      <c r="G315" s="759"/>
      <c r="H315" s="759"/>
      <c r="I315" s="759"/>
      <c r="J315" s="759"/>
      <c r="K315" s="759"/>
      <c r="L315" s="759"/>
      <c r="M315" s="606"/>
      <c r="N315" s="598">
        <f>SUM(N316:N316)+N329</f>
        <v>37540000</v>
      </c>
      <c r="O315" s="637"/>
    </row>
    <row r="316" spans="1:17" s="242" customFormat="1" ht="15" customHeight="1">
      <c r="A316" s="497"/>
      <c r="B316" s="426"/>
      <c r="C316" s="426"/>
      <c r="D316" s="426"/>
      <c r="E316" s="600" t="s">
        <v>14</v>
      </c>
      <c r="F316" s="759" t="str">
        <f>'RAB 2.2.16'!I19</f>
        <v>Upah Kerja Pembangunan Taman Kanak-Kanak</v>
      </c>
      <c r="G316" s="759"/>
      <c r="H316" s="759"/>
      <c r="I316" s="759"/>
      <c r="J316" s="759"/>
      <c r="K316" s="759"/>
      <c r="L316" s="759"/>
      <c r="M316" s="498"/>
      <c r="N316" s="598">
        <f>SUM(N317:N319)</f>
        <v>32815000</v>
      </c>
      <c r="O316" s="637"/>
    </row>
    <row r="317" spans="1:17" s="242" customFormat="1" ht="15" customHeight="1">
      <c r="A317" s="497"/>
      <c r="B317" s="426"/>
      <c r="C317" s="426"/>
      <c r="D317" s="426"/>
      <c r="E317" s="600"/>
      <c r="F317" s="590" t="str">
        <f>'RAB 2.2.16'!I20</f>
        <v>- Pekerja</v>
      </c>
      <c r="G317" s="590"/>
      <c r="H317" s="590"/>
      <c r="I317" s="590"/>
      <c r="J317" s="590"/>
      <c r="K317" s="590"/>
      <c r="L317" s="590"/>
      <c r="M317" s="498"/>
      <c r="N317" s="605">
        <f>'RAB 2.2.16'!S20</f>
        <v>17490000</v>
      </c>
      <c r="O317" s="637"/>
    </row>
    <row r="318" spans="1:17" s="242" customFormat="1" ht="15" customHeight="1">
      <c r="A318" s="497"/>
      <c r="B318" s="426"/>
      <c r="C318" s="426"/>
      <c r="D318" s="426"/>
      <c r="E318" s="600"/>
      <c r="F318" s="590" t="str">
        <f>'RAB 2.2.16'!I21</f>
        <v>- Tukang</v>
      </c>
      <c r="G318" s="590"/>
      <c r="H318" s="590"/>
      <c r="I318" s="590"/>
      <c r="J318" s="590"/>
      <c r="K318" s="590"/>
      <c r="L318" s="590"/>
      <c r="M318" s="498"/>
      <c r="N318" s="605">
        <f>'RAB 2.2.16'!S21</f>
        <v>12350000</v>
      </c>
      <c r="O318" s="637"/>
      <c r="Q318" s="311">
        <f>N316+N334</f>
        <v>97447700</v>
      </c>
    </row>
    <row r="319" spans="1:17" s="242" customFormat="1" ht="15" customHeight="1">
      <c r="A319" s="497"/>
      <c r="B319" s="426"/>
      <c r="C319" s="426"/>
      <c r="D319" s="426"/>
      <c r="E319" s="600"/>
      <c r="F319" s="590" t="str">
        <f>'RAB 2.2.16'!I22</f>
        <v>- Ka. Kelompok</v>
      </c>
      <c r="G319" s="590"/>
      <c r="H319" s="590"/>
      <c r="I319" s="590"/>
      <c r="J319" s="590"/>
      <c r="K319" s="590"/>
      <c r="L319" s="590"/>
      <c r="M319" s="498"/>
      <c r="N319" s="605">
        <f>'RAB 2.2.16'!S22</f>
        <v>2975000</v>
      </c>
      <c r="O319" s="637"/>
      <c r="Q319" s="311">
        <f>N329+N379</f>
        <v>21019500</v>
      </c>
    </row>
    <row r="320" spans="1:17" s="242" customFormat="1" ht="15" customHeight="1">
      <c r="A320" s="451"/>
      <c r="B320" s="451"/>
      <c r="C320" s="451"/>
      <c r="D320" s="451"/>
      <c r="E320" s="641"/>
      <c r="F320" s="616"/>
      <c r="G320" s="616"/>
      <c r="H320" s="616"/>
      <c r="I320" s="616"/>
      <c r="J320" s="616"/>
      <c r="K320" s="616"/>
      <c r="L320" s="616"/>
      <c r="M320" s="451"/>
      <c r="N320" s="642"/>
      <c r="O320" s="643"/>
      <c r="Q320" s="311"/>
    </row>
    <row r="321" spans="1:17" s="242" customFormat="1" ht="15" customHeight="1">
      <c r="A321" s="286"/>
      <c r="B321" s="286"/>
      <c r="C321" s="286"/>
      <c r="D321" s="286"/>
      <c r="E321" s="644"/>
      <c r="F321" s="655"/>
      <c r="G321" s="655"/>
      <c r="H321" s="655"/>
      <c r="I321" s="655"/>
      <c r="J321" s="655"/>
      <c r="K321" s="655"/>
      <c r="L321" s="655"/>
      <c r="M321" s="286"/>
      <c r="N321" s="645"/>
      <c r="O321" s="646"/>
      <c r="Q321" s="311"/>
    </row>
    <row r="322" spans="1:17" s="242" customFormat="1" ht="15" customHeight="1">
      <c r="A322" s="286"/>
      <c r="B322" s="286"/>
      <c r="C322" s="286"/>
      <c r="D322" s="286"/>
      <c r="E322" s="644"/>
      <c r="F322" s="655"/>
      <c r="G322" s="655"/>
      <c r="H322" s="655"/>
      <c r="I322" s="655"/>
      <c r="J322" s="655"/>
      <c r="K322" s="655"/>
      <c r="L322" s="655"/>
      <c r="M322" s="286"/>
      <c r="N322" s="645"/>
      <c r="O322" s="646"/>
      <c r="Q322" s="311"/>
    </row>
    <row r="323" spans="1:17" s="242" customFormat="1" ht="15" customHeight="1">
      <c r="A323" s="286"/>
      <c r="B323" s="286"/>
      <c r="C323" s="286"/>
      <c r="D323" s="286"/>
      <c r="E323" s="644"/>
      <c r="F323" s="655"/>
      <c r="G323" s="655"/>
      <c r="H323" s="655"/>
      <c r="I323" s="655"/>
      <c r="J323" s="655"/>
      <c r="K323" s="655"/>
      <c r="L323" s="655"/>
      <c r="M323" s="286"/>
      <c r="N323" s="645"/>
      <c r="O323" s="646"/>
      <c r="Q323" s="311"/>
    </row>
    <row r="324" spans="1:17" s="242" customFormat="1" ht="15" customHeight="1">
      <c r="A324" s="286"/>
      <c r="B324" s="286"/>
      <c r="C324" s="286"/>
      <c r="D324" s="286"/>
      <c r="E324" s="644"/>
      <c r="F324" s="655"/>
      <c r="G324" s="655"/>
      <c r="H324" s="655"/>
      <c r="I324" s="655"/>
      <c r="J324" s="655"/>
      <c r="K324" s="655"/>
      <c r="L324" s="655"/>
      <c r="M324" s="286"/>
      <c r="N324" s="645"/>
      <c r="O324" s="646"/>
      <c r="Q324" s="311"/>
    </row>
    <row r="325" spans="1:17" s="242" customFormat="1" ht="15" customHeight="1">
      <c r="A325" s="286"/>
      <c r="B325" s="286"/>
      <c r="C325" s="286"/>
      <c r="D325" s="286"/>
      <c r="E325" s="644"/>
      <c r="F325" s="655"/>
      <c r="G325" s="655"/>
      <c r="H325" s="655"/>
      <c r="I325" s="655"/>
      <c r="J325" s="655"/>
      <c r="K325" s="655"/>
      <c r="L325" s="655"/>
      <c r="M325" s="286"/>
      <c r="N325" s="645"/>
      <c r="O325" s="646"/>
      <c r="Q325" s="311"/>
    </row>
    <row r="326" spans="1:17" s="242" customFormat="1" ht="15" customHeight="1">
      <c r="A326" s="286"/>
      <c r="B326" s="286"/>
      <c r="C326" s="286"/>
      <c r="D326" s="286"/>
      <c r="E326" s="644"/>
      <c r="F326" s="655"/>
      <c r="G326" s="655"/>
      <c r="H326" s="655"/>
      <c r="I326" s="655"/>
      <c r="J326" s="655"/>
      <c r="K326" s="655"/>
      <c r="L326" s="655"/>
      <c r="M326" s="286"/>
      <c r="N326" s="645"/>
      <c r="O326" s="646"/>
      <c r="Q326" s="311"/>
    </row>
    <row r="327" spans="1:17" s="242" customFormat="1" ht="15" customHeight="1">
      <c r="A327" s="286"/>
      <c r="B327" s="286"/>
      <c r="C327" s="286"/>
      <c r="D327" s="286"/>
      <c r="E327" s="644"/>
      <c r="F327" s="655"/>
      <c r="G327" s="655"/>
      <c r="H327" s="655"/>
      <c r="I327" s="655"/>
      <c r="J327" s="655"/>
      <c r="K327" s="655"/>
      <c r="L327" s="655"/>
      <c r="M327" s="286"/>
      <c r="N327" s="645"/>
      <c r="O327" s="646"/>
      <c r="Q327" s="311"/>
    </row>
    <row r="328" spans="1:17" s="242" customFormat="1" ht="15" customHeight="1">
      <c r="A328" s="670"/>
      <c r="B328" s="670"/>
      <c r="C328" s="670"/>
      <c r="D328" s="670"/>
      <c r="E328" s="647"/>
      <c r="F328" s="617"/>
      <c r="G328" s="617"/>
      <c r="H328" s="617"/>
      <c r="I328" s="617"/>
      <c r="J328" s="617"/>
      <c r="K328" s="617"/>
      <c r="L328" s="617"/>
      <c r="M328" s="670"/>
      <c r="N328" s="648"/>
      <c r="O328" s="649"/>
      <c r="Q328" s="311"/>
    </row>
    <row r="329" spans="1:17" s="242" customFormat="1" ht="15" customHeight="1">
      <c r="A329" s="497"/>
      <c r="B329" s="426"/>
      <c r="C329" s="426"/>
      <c r="D329" s="426"/>
      <c r="E329" s="600" t="s">
        <v>14</v>
      </c>
      <c r="F329" s="759" t="str">
        <f>'RAB 2.2.16'!I24</f>
        <v>Upah Kerja Rehab. TK-PGRI Cibollo</v>
      </c>
      <c r="G329" s="759"/>
      <c r="H329" s="759"/>
      <c r="I329" s="759"/>
      <c r="J329" s="759"/>
      <c r="K329" s="759"/>
      <c r="L329" s="759"/>
      <c r="M329" s="498"/>
      <c r="N329" s="598">
        <f>SUM(N330:N332)</f>
        <v>4725000</v>
      </c>
      <c r="O329" s="637"/>
    </row>
    <row r="330" spans="1:17" s="242" customFormat="1" ht="15" customHeight="1">
      <c r="A330" s="497"/>
      <c r="B330" s="426"/>
      <c r="C330" s="426"/>
      <c r="D330" s="426"/>
      <c r="E330" s="600"/>
      <c r="F330" s="590" t="str">
        <f>'RAB 2.2.16'!I25</f>
        <v>- Pekerja</v>
      </c>
      <c r="G330" s="590"/>
      <c r="H330" s="590"/>
      <c r="I330" s="590"/>
      <c r="J330" s="590"/>
      <c r="K330" s="590"/>
      <c r="L330" s="590"/>
      <c r="M330" s="498"/>
      <c r="N330" s="605">
        <f>'RAB 2.2.16'!S25</f>
        <v>2475000</v>
      </c>
      <c r="O330" s="637"/>
    </row>
    <row r="331" spans="1:17" s="242" customFormat="1" ht="15" customHeight="1">
      <c r="A331" s="497"/>
      <c r="B331" s="426"/>
      <c r="C331" s="426"/>
      <c r="D331" s="426"/>
      <c r="E331" s="600"/>
      <c r="F331" s="590" t="str">
        <f>'RAB 2.2.16'!I26</f>
        <v>- Tukang</v>
      </c>
      <c r="G331" s="590"/>
      <c r="H331" s="590"/>
      <c r="I331" s="590"/>
      <c r="J331" s="590"/>
      <c r="K331" s="590"/>
      <c r="L331" s="590"/>
      <c r="M331" s="498"/>
      <c r="N331" s="605">
        <f>'RAB 2.2.16'!S26</f>
        <v>975000</v>
      </c>
      <c r="O331" s="637"/>
    </row>
    <row r="332" spans="1:17" s="242" customFormat="1" ht="15" customHeight="1">
      <c r="A332" s="497"/>
      <c r="B332" s="426"/>
      <c r="C332" s="426"/>
      <c r="D332" s="426"/>
      <c r="E332" s="600"/>
      <c r="F332" s="590" t="str">
        <f>'RAB 2.2.16'!I27</f>
        <v>- Ka. Kelompok</v>
      </c>
      <c r="G332" s="590"/>
      <c r="H332" s="590"/>
      <c r="I332" s="590"/>
      <c r="J332" s="590"/>
      <c r="K332" s="590"/>
      <c r="L332" s="590"/>
      <c r="M332" s="498"/>
      <c r="N332" s="605">
        <f>'RAB 2.2.16'!S27</f>
        <v>1275000</v>
      </c>
      <c r="O332" s="637"/>
      <c r="Q332" s="311">
        <f>N316+N334</f>
        <v>97447700</v>
      </c>
    </row>
    <row r="333" spans="1:17" s="242" customFormat="1" ht="15" customHeight="1">
      <c r="A333" s="497">
        <v>2</v>
      </c>
      <c r="B333" s="426">
        <v>2</v>
      </c>
      <c r="C333" s="426">
        <v>16</v>
      </c>
      <c r="D333" s="426">
        <v>2</v>
      </c>
      <c r="E333" s="758" t="s">
        <v>60</v>
      </c>
      <c r="F333" s="759"/>
      <c r="G333" s="759"/>
      <c r="H333" s="759"/>
      <c r="I333" s="759"/>
      <c r="J333" s="759"/>
      <c r="K333" s="759"/>
      <c r="L333" s="759"/>
      <c r="M333" s="498"/>
      <c r="N333" s="598">
        <f>SUM(N334+N379)</f>
        <v>80927200</v>
      </c>
      <c r="O333" s="637"/>
    </row>
    <row r="334" spans="1:17" s="242" customFormat="1" ht="15" customHeight="1">
      <c r="A334" s="450"/>
      <c r="B334" s="615"/>
      <c r="C334" s="615"/>
      <c r="D334" s="615"/>
      <c r="E334" s="678" t="s">
        <v>14</v>
      </c>
      <c r="F334" s="455" t="str">
        <f>'RAB 2.2.16'!I29</f>
        <v>Pembangunan Taman Kanak-Kanak</v>
      </c>
      <c r="G334" s="669"/>
      <c r="H334" s="669"/>
      <c r="I334" s="669"/>
      <c r="J334" s="669"/>
      <c r="K334" s="669"/>
      <c r="L334" s="669"/>
      <c r="M334" s="679"/>
      <c r="N334" s="680">
        <f>SUM(N335:N377)</f>
        <v>64632700</v>
      </c>
      <c r="O334" s="639"/>
    </row>
    <row r="335" spans="1:17" s="242" customFormat="1" ht="15" customHeight="1">
      <c r="A335" s="660"/>
      <c r="B335" s="664"/>
      <c r="C335" s="664"/>
      <c r="D335" s="664"/>
      <c r="E335" s="667"/>
      <c r="F335" s="628" t="s">
        <v>326</v>
      </c>
      <c r="G335" s="668"/>
      <c r="H335" s="668"/>
      <c r="I335" s="668"/>
      <c r="J335" s="668"/>
      <c r="K335" s="668"/>
      <c r="L335" s="668"/>
      <c r="M335" s="661"/>
      <c r="N335" s="605">
        <f>'RAB 2.2.16'!S30</f>
        <v>5850000</v>
      </c>
      <c r="O335" s="637"/>
    </row>
    <row r="336" spans="1:17" s="242" customFormat="1" ht="15" customHeight="1">
      <c r="A336" s="660"/>
      <c r="B336" s="664"/>
      <c r="C336" s="664"/>
      <c r="D336" s="664"/>
      <c r="E336" s="667"/>
      <c r="F336" s="628" t="s">
        <v>327</v>
      </c>
      <c r="G336" s="668"/>
      <c r="H336" s="668"/>
      <c r="I336" s="668"/>
      <c r="J336" s="668"/>
      <c r="K336" s="668"/>
      <c r="L336" s="668"/>
      <c r="M336" s="661"/>
      <c r="N336" s="605">
        <f>'RAB 2.2.16'!S31</f>
        <v>4110750</v>
      </c>
      <c r="O336" s="637"/>
    </row>
    <row r="337" spans="1:15" s="242" customFormat="1" ht="15" customHeight="1">
      <c r="A337" s="660"/>
      <c r="B337" s="664"/>
      <c r="C337" s="664"/>
      <c r="D337" s="664"/>
      <c r="E337" s="667"/>
      <c r="F337" s="628" t="s">
        <v>62</v>
      </c>
      <c r="G337" s="668"/>
      <c r="H337" s="668"/>
      <c r="I337" s="668"/>
      <c r="J337" s="668"/>
      <c r="K337" s="668"/>
      <c r="L337" s="668"/>
      <c r="M337" s="661"/>
      <c r="N337" s="605">
        <f>'RAB 2.2.16'!S32</f>
        <v>10725000</v>
      </c>
      <c r="O337" s="637"/>
    </row>
    <row r="338" spans="1:15" s="242" customFormat="1" ht="15" customHeight="1">
      <c r="A338" s="660"/>
      <c r="B338" s="664"/>
      <c r="C338" s="664"/>
      <c r="D338" s="664"/>
      <c r="E338" s="667"/>
      <c r="F338" s="628" t="s">
        <v>328</v>
      </c>
      <c r="G338" s="668"/>
      <c r="H338" s="668"/>
      <c r="I338" s="668"/>
      <c r="J338" s="668"/>
      <c r="K338" s="668"/>
      <c r="L338" s="668"/>
      <c r="M338" s="661"/>
      <c r="N338" s="605">
        <f>'RAB 2.2.16'!S33</f>
        <v>850000</v>
      </c>
      <c r="O338" s="637"/>
    </row>
    <row r="339" spans="1:15" s="242" customFormat="1" ht="15" customHeight="1">
      <c r="A339" s="660"/>
      <c r="B339" s="664"/>
      <c r="C339" s="664"/>
      <c r="D339" s="664"/>
      <c r="E339" s="667"/>
      <c r="F339" s="628" t="s">
        <v>329</v>
      </c>
      <c r="G339" s="668"/>
      <c r="H339" s="668"/>
      <c r="I339" s="668"/>
      <c r="J339" s="668"/>
      <c r="K339" s="668"/>
      <c r="L339" s="668"/>
      <c r="M339" s="661"/>
      <c r="N339" s="605">
        <f>'RAB 2.2.16'!S34</f>
        <v>6619500</v>
      </c>
      <c r="O339" s="637"/>
    </row>
    <row r="340" spans="1:15" s="242" customFormat="1" ht="15" customHeight="1">
      <c r="A340" s="660"/>
      <c r="B340" s="664"/>
      <c r="C340" s="664"/>
      <c r="D340" s="664"/>
      <c r="E340" s="667"/>
      <c r="F340" s="628" t="s">
        <v>330</v>
      </c>
      <c r="G340" s="668"/>
      <c r="H340" s="668"/>
      <c r="I340" s="668"/>
      <c r="J340" s="668"/>
      <c r="K340" s="668"/>
      <c r="L340" s="668"/>
      <c r="M340" s="661"/>
      <c r="N340" s="605">
        <f>'RAB 2.2.16'!S35</f>
        <v>2175000</v>
      </c>
      <c r="O340" s="637"/>
    </row>
    <row r="341" spans="1:15" s="242" customFormat="1" ht="15" customHeight="1">
      <c r="A341" s="660"/>
      <c r="B341" s="664"/>
      <c r="C341" s="664"/>
      <c r="D341" s="664"/>
      <c r="E341" s="667"/>
      <c r="F341" s="628" t="s">
        <v>331</v>
      </c>
      <c r="G341" s="668"/>
      <c r="H341" s="668"/>
      <c r="I341" s="668"/>
      <c r="J341" s="668"/>
      <c r="K341" s="668"/>
      <c r="L341" s="668"/>
      <c r="M341" s="661"/>
      <c r="N341" s="605">
        <f>'RAB 2.2.16'!S36</f>
        <v>0</v>
      </c>
      <c r="O341" s="637"/>
    </row>
    <row r="342" spans="1:15" s="242" customFormat="1" ht="15" customHeight="1">
      <c r="A342" s="660"/>
      <c r="B342" s="664"/>
      <c r="C342" s="664"/>
      <c r="D342" s="664"/>
      <c r="E342" s="667"/>
      <c r="F342" s="628" t="s">
        <v>332</v>
      </c>
      <c r="G342" s="668"/>
      <c r="H342" s="668"/>
      <c r="I342" s="668"/>
      <c r="J342" s="668"/>
      <c r="K342" s="668"/>
      <c r="L342" s="668"/>
      <c r="M342" s="661"/>
      <c r="N342" s="605">
        <f>'RAB 2.2.16'!S37</f>
        <v>4900000</v>
      </c>
      <c r="O342" s="637"/>
    </row>
    <row r="343" spans="1:15" s="242" customFormat="1" ht="15" customHeight="1">
      <c r="A343" s="660"/>
      <c r="B343" s="664"/>
      <c r="C343" s="664"/>
      <c r="D343" s="664"/>
      <c r="E343" s="667"/>
      <c r="F343" s="628" t="s">
        <v>333</v>
      </c>
      <c r="G343" s="668"/>
      <c r="H343" s="668"/>
      <c r="I343" s="668"/>
      <c r="J343" s="668"/>
      <c r="K343" s="668"/>
      <c r="L343" s="668"/>
      <c r="M343" s="661"/>
      <c r="N343" s="605">
        <f>'RAB 2.2.16'!S38</f>
        <v>1560000</v>
      </c>
      <c r="O343" s="637"/>
    </row>
    <row r="344" spans="1:15" s="242" customFormat="1" ht="15" customHeight="1">
      <c r="A344" s="660"/>
      <c r="B344" s="664"/>
      <c r="C344" s="664"/>
      <c r="D344" s="664"/>
      <c r="E344" s="667"/>
      <c r="F344" s="628" t="s">
        <v>334</v>
      </c>
      <c r="G344" s="668"/>
      <c r="H344" s="668"/>
      <c r="I344" s="668"/>
      <c r="J344" s="668"/>
      <c r="K344" s="668"/>
      <c r="L344" s="668"/>
      <c r="M344" s="661"/>
      <c r="N344" s="605">
        <f>'RAB 2.2.16'!S39</f>
        <v>840000</v>
      </c>
      <c r="O344" s="637"/>
    </row>
    <row r="345" spans="1:15" s="242" customFormat="1" ht="15" customHeight="1">
      <c r="A345" s="660"/>
      <c r="B345" s="664"/>
      <c r="C345" s="664"/>
      <c r="D345" s="664"/>
      <c r="E345" s="667"/>
      <c r="F345" s="628" t="s">
        <v>335</v>
      </c>
      <c r="G345" s="668"/>
      <c r="H345" s="668"/>
      <c r="I345" s="668"/>
      <c r="J345" s="668"/>
      <c r="K345" s="668"/>
      <c r="L345" s="668"/>
      <c r="M345" s="661"/>
      <c r="N345" s="605">
        <f>'RAB 2.2.16'!S40</f>
        <v>3680000</v>
      </c>
      <c r="O345" s="637"/>
    </row>
    <row r="346" spans="1:15" s="242" customFormat="1" ht="15" customHeight="1">
      <c r="A346" s="660"/>
      <c r="B346" s="664"/>
      <c r="C346" s="664"/>
      <c r="D346" s="664"/>
      <c r="E346" s="667"/>
      <c r="F346" s="628" t="s">
        <v>336</v>
      </c>
      <c r="G346" s="668"/>
      <c r="H346" s="668"/>
      <c r="I346" s="668"/>
      <c r="J346" s="668"/>
      <c r="K346" s="668"/>
      <c r="L346" s="668"/>
      <c r="M346" s="661"/>
      <c r="N346" s="605">
        <f>'RAB 2.2.16'!S41</f>
        <v>325000</v>
      </c>
      <c r="O346" s="637"/>
    </row>
    <row r="347" spans="1:15" s="242" customFormat="1" ht="15" customHeight="1">
      <c r="A347" s="660"/>
      <c r="B347" s="664"/>
      <c r="C347" s="664"/>
      <c r="D347" s="664"/>
      <c r="E347" s="667"/>
      <c r="F347" s="628" t="s">
        <v>337</v>
      </c>
      <c r="G347" s="668"/>
      <c r="H347" s="668"/>
      <c r="I347" s="668"/>
      <c r="J347" s="668"/>
      <c r="K347" s="668"/>
      <c r="L347" s="668"/>
      <c r="M347" s="661"/>
      <c r="N347" s="605">
        <f>'RAB 2.2.16'!S42</f>
        <v>4641000</v>
      </c>
      <c r="O347" s="637"/>
    </row>
    <row r="348" spans="1:15" s="242" customFormat="1" ht="15" customHeight="1">
      <c r="A348" s="660"/>
      <c r="B348" s="664"/>
      <c r="C348" s="664"/>
      <c r="D348" s="664"/>
      <c r="E348" s="667"/>
      <c r="F348" s="628" t="s">
        <v>338</v>
      </c>
      <c r="G348" s="668"/>
      <c r="H348" s="668"/>
      <c r="I348" s="668"/>
      <c r="J348" s="668"/>
      <c r="K348" s="668"/>
      <c r="L348" s="668"/>
      <c r="M348" s="661"/>
      <c r="N348" s="605">
        <f>'RAB 2.2.16'!S43</f>
        <v>350000</v>
      </c>
      <c r="O348" s="637"/>
    </row>
    <row r="349" spans="1:15" s="242" customFormat="1" ht="15" customHeight="1">
      <c r="A349" s="660"/>
      <c r="B349" s="664"/>
      <c r="C349" s="664"/>
      <c r="D349" s="664"/>
      <c r="E349" s="667"/>
      <c r="F349" s="628" t="s">
        <v>339</v>
      </c>
      <c r="G349" s="668"/>
      <c r="H349" s="668"/>
      <c r="I349" s="668"/>
      <c r="J349" s="668"/>
      <c r="K349" s="668"/>
      <c r="L349" s="668"/>
      <c r="M349" s="661"/>
      <c r="N349" s="605">
        <f>'RAB 2.2.16'!S44</f>
        <v>85750</v>
      </c>
      <c r="O349" s="637"/>
    </row>
    <row r="350" spans="1:15" s="242" customFormat="1" ht="15" customHeight="1">
      <c r="A350" s="660"/>
      <c r="B350" s="664"/>
      <c r="C350" s="664"/>
      <c r="D350" s="664"/>
      <c r="E350" s="667"/>
      <c r="F350" s="628" t="s">
        <v>340</v>
      </c>
      <c r="G350" s="668"/>
      <c r="H350" s="668"/>
      <c r="I350" s="668"/>
      <c r="J350" s="668"/>
      <c r="K350" s="668"/>
      <c r="L350" s="668"/>
      <c r="M350" s="661"/>
      <c r="N350" s="605">
        <f>'RAB 2.2.16'!S45</f>
        <v>377100.00000000006</v>
      </c>
      <c r="O350" s="637"/>
    </row>
    <row r="351" spans="1:15" s="242" customFormat="1" ht="15" customHeight="1">
      <c r="A351" s="660"/>
      <c r="B351" s="664"/>
      <c r="C351" s="664"/>
      <c r="D351" s="664"/>
      <c r="E351" s="667"/>
      <c r="F351" s="628" t="s">
        <v>341</v>
      </c>
      <c r="G351" s="668"/>
      <c r="H351" s="668"/>
      <c r="I351" s="668"/>
      <c r="J351" s="668"/>
      <c r="K351" s="668"/>
      <c r="L351" s="668"/>
      <c r="M351" s="661"/>
      <c r="N351" s="605">
        <f>'RAB 2.2.16'!S46</f>
        <v>2470000</v>
      </c>
      <c r="O351" s="637"/>
    </row>
    <row r="352" spans="1:15" s="242" customFormat="1" ht="15" customHeight="1">
      <c r="A352" s="660"/>
      <c r="B352" s="664"/>
      <c r="C352" s="664"/>
      <c r="D352" s="664"/>
      <c r="E352" s="667"/>
      <c r="F352" s="628" t="s">
        <v>342</v>
      </c>
      <c r="G352" s="668"/>
      <c r="H352" s="668"/>
      <c r="I352" s="668"/>
      <c r="J352" s="668"/>
      <c r="K352" s="668"/>
      <c r="L352" s="668"/>
      <c r="M352" s="661"/>
      <c r="N352" s="605">
        <f>'RAB 2.2.16'!S47</f>
        <v>242000</v>
      </c>
      <c r="O352" s="637"/>
    </row>
    <row r="353" spans="1:15" s="242" customFormat="1" ht="15" customHeight="1">
      <c r="A353" s="660"/>
      <c r="B353" s="664"/>
      <c r="C353" s="664"/>
      <c r="D353" s="664"/>
      <c r="E353" s="667"/>
      <c r="F353" s="628" t="s">
        <v>343</v>
      </c>
      <c r="G353" s="668"/>
      <c r="H353" s="668"/>
      <c r="I353" s="668"/>
      <c r="J353" s="668"/>
      <c r="K353" s="668"/>
      <c r="L353" s="668"/>
      <c r="M353" s="661"/>
      <c r="N353" s="605">
        <f>'RAB 2.2.16'!S48</f>
        <v>180000</v>
      </c>
      <c r="O353" s="637"/>
    </row>
    <row r="354" spans="1:15" s="242" customFormat="1" ht="15" customHeight="1">
      <c r="A354" s="660"/>
      <c r="B354" s="664"/>
      <c r="C354" s="664"/>
      <c r="D354" s="664"/>
      <c r="E354" s="667"/>
      <c r="F354" s="628" t="s">
        <v>344</v>
      </c>
      <c r="G354" s="668"/>
      <c r="H354" s="668"/>
      <c r="I354" s="668"/>
      <c r="J354" s="668"/>
      <c r="K354" s="668"/>
      <c r="L354" s="668"/>
      <c r="M354" s="661"/>
      <c r="N354" s="605">
        <f>'RAB 2.2.16'!S49</f>
        <v>100800</v>
      </c>
      <c r="O354" s="637"/>
    </row>
    <row r="355" spans="1:15" s="242" customFormat="1" ht="15" customHeight="1">
      <c r="A355" s="660"/>
      <c r="B355" s="664"/>
      <c r="C355" s="664"/>
      <c r="D355" s="664"/>
      <c r="E355" s="667"/>
      <c r="F355" s="628" t="s">
        <v>345</v>
      </c>
      <c r="G355" s="668"/>
      <c r="H355" s="668"/>
      <c r="I355" s="668"/>
      <c r="J355" s="668"/>
      <c r="K355" s="668"/>
      <c r="L355" s="668"/>
      <c r="M355" s="661"/>
      <c r="N355" s="605">
        <f>'RAB 2.2.16'!S50</f>
        <v>875000</v>
      </c>
      <c r="O355" s="637"/>
    </row>
    <row r="356" spans="1:15" s="242" customFormat="1" ht="15" customHeight="1">
      <c r="A356" s="660"/>
      <c r="B356" s="664"/>
      <c r="C356" s="664"/>
      <c r="D356" s="664"/>
      <c r="E356" s="667"/>
      <c r="F356" s="628" t="s">
        <v>346</v>
      </c>
      <c r="G356" s="668"/>
      <c r="H356" s="668"/>
      <c r="I356" s="668"/>
      <c r="J356" s="668"/>
      <c r="K356" s="668"/>
      <c r="L356" s="668"/>
      <c r="M356" s="661"/>
      <c r="N356" s="605">
        <f>'RAB 2.2.16'!S51</f>
        <v>45000</v>
      </c>
      <c r="O356" s="637"/>
    </row>
    <row r="357" spans="1:15" s="242" customFormat="1" ht="15" customHeight="1">
      <c r="A357" s="660"/>
      <c r="B357" s="664"/>
      <c r="C357" s="664"/>
      <c r="D357" s="664"/>
      <c r="E357" s="667"/>
      <c r="F357" s="628" t="s">
        <v>347</v>
      </c>
      <c r="G357" s="668"/>
      <c r="H357" s="668"/>
      <c r="I357" s="668"/>
      <c r="J357" s="668"/>
      <c r="K357" s="668"/>
      <c r="L357" s="668"/>
      <c r="M357" s="661"/>
      <c r="N357" s="605">
        <f>'RAB 2.2.16'!S52</f>
        <v>300000</v>
      </c>
      <c r="O357" s="637"/>
    </row>
    <row r="358" spans="1:15" s="242" customFormat="1" ht="15" customHeight="1">
      <c r="A358" s="660"/>
      <c r="B358" s="664"/>
      <c r="C358" s="664"/>
      <c r="D358" s="664"/>
      <c r="E358" s="667"/>
      <c r="F358" s="628" t="s">
        <v>348</v>
      </c>
      <c r="G358" s="668"/>
      <c r="H358" s="668"/>
      <c r="I358" s="668"/>
      <c r="J358" s="668"/>
      <c r="K358" s="668"/>
      <c r="L358" s="668"/>
      <c r="M358" s="661"/>
      <c r="N358" s="605">
        <f>'RAB 2.2.16'!S53</f>
        <v>450000</v>
      </c>
      <c r="O358" s="637"/>
    </row>
    <row r="359" spans="1:15" s="242" customFormat="1" ht="15" customHeight="1">
      <c r="A359" s="660"/>
      <c r="B359" s="664"/>
      <c r="C359" s="664"/>
      <c r="D359" s="664"/>
      <c r="E359" s="667"/>
      <c r="F359" s="628" t="s">
        <v>349</v>
      </c>
      <c r="G359" s="668"/>
      <c r="H359" s="668"/>
      <c r="I359" s="668"/>
      <c r="J359" s="668"/>
      <c r="K359" s="668"/>
      <c r="L359" s="668"/>
      <c r="M359" s="661"/>
      <c r="N359" s="605">
        <f>'RAB 2.2.16'!S54</f>
        <v>70000</v>
      </c>
      <c r="O359" s="637"/>
    </row>
    <row r="360" spans="1:15" s="242" customFormat="1" ht="15" customHeight="1">
      <c r="A360" s="660"/>
      <c r="B360" s="664"/>
      <c r="C360" s="664"/>
      <c r="D360" s="664"/>
      <c r="E360" s="667"/>
      <c r="F360" s="628" t="s">
        <v>350</v>
      </c>
      <c r="G360" s="668"/>
      <c r="H360" s="668"/>
      <c r="I360" s="668"/>
      <c r="J360" s="668"/>
      <c r="K360" s="668"/>
      <c r="L360" s="668"/>
      <c r="M360" s="661"/>
      <c r="N360" s="605">
        <f>'RAB 2.2.16'!S55</f>
        <v>3500</v>
      </c>
      <c r="O360" s="637"/>
    </row>
    <row r="361" spans="1:15" s="242" customFormat="1" ht="15" customHeight="1">
      <c r="A361" s="660"/>
      <c r="B361" s="664"/>
      <c r="C361" s="664"/>
      <c r="D361" s="664"/>
      <c r="E361" s="667"/>
      <c r="F361" s="628" t="s">
        <v>351</v>
      </c>
      <c r="G361" s="668"/>
      <c r="H361" s="668"/>
      <c r="I361" s="668"/>
      <c r="J361" s="668"/>
      <c r="K361" s="668"/>
      <c r="L361" s="668"/>
      <c r="M361" s="661"/>
      <c r="N361" s="605">
        <f>'RAB 2.2.16'!S56</f>
        <v>15000</v>
      </c>
      <c r="O361" s="637"/>
    </row>
    <row r="362" spans="1:15" s="242" customFormat="1" ht="15" customHeight="1">
      <c r="A362" s="660"/>
      <c r="B362" s="664"/>
      <c r="C362" s="664"/>
      <c r="D362" s="664"/>
      <c r="E362" s="667"/>
      <c r="F362" s="628" t="s">
        <v>352</v>
      </c>
      <c r="G362" s="668"/>
      <c r="H362" s="668"/>
      <c r="I362" s="668"/>
      <c r="J362" s="668"/>
      <c r="K362" s="668"/>
      <c r="L362" s="668"/>
      <c r="M362" s="661"/>
      <c r="N362" s="605">
        <f>'RAB 2.2.16'!S57</f>
        <v>14000</v>
      </c>
      <c r="O362" s="637"/>
    </row>
    <row r="363" spans="1:15" s="242" customFormat="1" ht="15" customHeight="1">
      <c r="A363" s="660"/>
      <c r="B363" s="664"/>
      <c r="C363" s="664"/>
      <c r="D363" s="664"/>
      <c r="E363" s="667"/>
      <c r="F363" s="628" t="s">
        <v>353</v>
      </c>
      <c r="G363" s="668"/>
      <c r="H363" s="668"/>
      <c r="I363" s="668"/>
      <c r="J363" s="668"/>
      <c r="K363" s="668"/>
      <c r="L363" s="668"/>
      <c r="M363" s="661"/>
      <c r="N363" s="605">
        <f>'RAB 2.2.16'!S58</f>
        <v>10000</v>
      </c>
      <c r="O363" s="637"/>
    </row>
    <row r="364" spans="1:15" s="242" customFormat="1" ht="15" customHeight="1">
      <c r="A364" s="660"/>
      <c r="B364" s="664"/>
      <c r="C364" s="664"/>
      <c r="D364" s="664"/>
      <c r="E364" s="667"/>
      <c r="F364" s="628" t="s">
        <v>354</v>
      </c>
      <c r="G364" s="668"/>
      <c r="H364" s="668"/>
      <c r="I364" s="668"/>
      <c r="J364" s="668"/>
      <c r="K364" s="668"/>
      <c r="L364" s="668"/>
      <c r="M364" s="661"/>
      <c r="N364" s="605">
        <f>'RAB 2.2.16'!S59</f>
        <v>170000</v>
      </c>
      <c r="O364" s="637"/>
    </row>
    <row r="365" spans="1:15" s="242" customFormat="1" ht="15" customHeight="1">
      <c r="A365" s="660"/>
      <c r="B365" s="664"/>
      <c r="C365" s="664"/>
      <c r="D365" s="664"/>
      <c r="E365" s="667"/>
      <c r="F365" s="628" t="s">
        <v>399</v>
      </c>
      <c r="G365" s="668"/>
      <c r="H365" s="668"/>
      <c r="I365" s="668"/>
      <c r="J365" s="668"/>
      <c r="K365" s="668"/>
      <c r="L365" s="668"/>
      <c r="M365" s="661"/>
      <c r="N365" s="605">
        <f>'RAB 2.2.16'!S60</f>
        <v>130000</v>
      </c>
      <c r="O365" s="637"/>
    </row>
    <row r="366" spans="1:15" s="242" customFormat="1" ht="15" customHeight="1">
      <c r="A366" s="660"/>
      <c r="B366" s="664"/>
      <c r="C366" s="664"/>
      <c r="D366" s="664"/>
      <c r="E366" s="667"/>
      <c r="F366" s="628" t="s">
        <v>400</v>
      </c>
      <c r="G366" s="668"/>
      <c r="H366" s="668"/>
      <c r="I366" s="668"/>
      <c r="J366" s="668"/>
      <c r="K366" s="668"/>
      <c r="L366" s="668"/>
      <c r="M366" s="661"/>
      <c r="N366" s="605">
        <f>'RAB 2.2.16'!S61</f>
        <v>13000</v>
      </c>
      <c r="O366" s="637"/>
    </row>
    <row r="367" spans="1:15" s="242" customFormat="1" ht="15" customHeight="1">
      <c r="A367" s="660"/>
      <c r="B367" s="664"/>
      <c r="C367" s="664"/>
      <c r="D367" s="664"/>
      <c r="E367" s="667"/>
      <c r="F367" s="628" t="s">
        <v>401</v>
      </c>
      <c r="G367" s="668"/>
      <c r="H367" s="668"/>
      <c r="I367" s="668"/>
      <c r="J367" s="668"/>
      <c r="K367" s="668"/>
      <c r="L367" s="668"/>
      <c r="M367" s="661"/>
      <c r="N367" s="605">
        <f>'RAB 2.2.16'!S62</f>
        <v>7000</v>
      </c>
      <c r="O367" s="637"/>
    </row>
    <row r="368" spans="1:15" s="242" customFormat="1" ht="15" customHeight="1">
      <c r="A368" s="660"/>
      <c r="B368" s="664"/>
      <c r="C368" s="664"/>
      <c r="D368" s="664"/>
      <c r="E368" s="667"/>
      <c r="F368" s="628" t="s">
        <v>402</v>
      </c>
      <c r="G368" s="668"/>
      <c r="H368" s="668"/>
      <c r="I368" s="668"/>
      <c r="J368" s="668"/>
      <c r="K368" s="668"/>
      <c r="L368" s="668"/>
      <c r="M368" s="661"/>
      <c r="N368" s="605">
        <f>'RAB 2.2.16'!S63</f>
        <v>100000</v>
      </c>
      <c r="O368" s="637"/>
    </row>
    <row r="369" spans="1:15" s="242" customFormat="1" ht="15" customHeight="1">
      <c r="A369" s="660"/>
      <c r="B369" s="664"/>
      <c r="C369" s="664"/>
      <c r="D369" s="664"/>
      <c r="E369" s="667"/>
      <c r="F369" s="628" t="s">
        <v>388</v>
      </c>
      <c r="G369" s="668"/>
      <c r="H369" s="668"/>
      <c r="I369" s="668"/>
      <c r="J369" s="668"/>
      <c r="K369" s="668"/>
      <c r="L369" s="668"/>
      <c r="M369" s="661"/>
      <c r="N369" s="605">
        <f>'RAB 2.2.16'!S64</f>
        <v>750000</v>
      </c>
      <c r="O369" s="637"/>
    </row>
    <row r="370" spans="1:15" s="242" customFormat="1" ht="15" customHeight="1">
      <c r="A370" s="660"/>
      <c r="B370" s="664"/>
      <c r="C370" s="664"/>
      <c r="D370" s="664"/>
      <c r="E370" s="667"/>
      <c r="F370" s="628" t="s">
        <v>360</v>
      </c>
      <c r="G370" s="668"/>
      <c r="H370" s="668"/>
      <c r="I370" s="668"/>
      <c r="J370" s="668"/>
      <c r="K370" s="668"/>
      <c r="L370" s="668"/>
      <c r="M370" s="661"/>
      <c r="N370" s="605">
        <f>'RAB 2.2.16'!S65</f>
        <v>20000</v>
      </c>
      <c r="O370" s="637"/>
    </row>
    <row r="371" spans="1:15" s="242" customFormat="1" ht="15" customHeight="1">
      <c r="A371" s="660"/>
      <c r="B371" s="664"/>
      <c r="C371" s="664"/>
      <c r="D371" s="664"/>
      <c r="E371" s="667"/>
      <c r="F371" s="628" t="s">
        <v>361</v>
      </c>
      <c r="G371" s="668"/>
      <c r="H371" s="668"/>
      <c r="I371" s="668"/>
      <c r="J371" s="668"/>
      <c r="K371" s="668"/>
      <c r="L371" s="668"/>
      <c r="M371" s="661"/>
      <c r="N371" s="605">
        <f>'RAB 2.2.16'!S66</f>
        <v>50000</v>
      </c>
      <c r="O371" s="637"/>
    </row>
    <row r="372" spans="1:15" s="242" customFormat="1" ht="15" customHeight="1">
      <c r="A372" s="660"/>
      <c r="B372" s="664"/>
      <c r="C372" s="664"/>
      <c r="D372" s="664"/>
      <c r="E372" s="667"/>
      <c r="F372" s="628" t="s">
        <v>362</v>
      </c>
      <c r="G372" s="668"/>
      <c r="H372" s="668"/>
      <c r="I372" s="668"/>
      <c r="J372" s="668"/>
      <c r="K372" s="668"/>
      <c r="L372" s="668"/>
      <c r="M372" s="661"/>
      <c r="N372" s="605">
        <f>'RAB 2.2.16'!S67</f>
        <v>15000</v>
      </c>
      <c r="O372" s="637"/>
    </row>
    <row r="373" spans="1:15" s="242" customFormat="1" ht="15" customHeight="1">
      <c r="A373" s="660"/>
      <c r="B373" s="664"/>
      <c r="C373" s="664"/>
      <c r="D373" s="664"/>
      <c r="E373" s="667"/>
      <c r="F373" s="628" t="s">
        <v>390</v>
      </c>
      <c r="G373" s="668"/>
      <c r="H373" s="668"/>
      <c r="I373" s="668"/>
      <c r="J373" s="668"/>
      <c r="K373" s="668"/>
      <c r="L373" s="668"/>
      <c r="M373" s="661"/>
      <c r="N373" s="605">
        <f>'RAB 2.2.16'!S68</f>
        <v>1740000</v>
      </c>
      <c r="O373" s="637"/>
    </row>
    <row r="374" spans="1:15" s="242" customFormat="1" ht="15" customHeight="1">
      <c r="A374" s="660"/>
      <c r="B374" s="664"/>
      <c r="C374" s="664"/>
      <c r="D374" s="664"/>
      <c r="E374" s="667"/>
      <c r="F374" s="628" t="s">
        <v>363</v>
      </c>
      <c r="G374" s="668"/>
      <c r="H374" s="668"/>
      <c r="I374" s="668"/>
      <c r="J374" s="668"/>
      <c r="K374" s="668"/>
      <c r="L374" s="668"/>
      <c r="M374" s="661"/>
      <c r="N374" s="605">
        <f>'RAB 2.2.16'!S79</f>
        <v>160000</v>
      </c>
      <c r="O374" s="637"/>
    </row>
    <row r="375" spans="1:15" s="242" customFormat="1" ht="15" customHeight="1">
      <c r="A375" s="660"/>
      <c r="B375" s="664"/>
      <c r="C375" s="664"/>
      <c r="D375" s="664"/>
      <c r="E375" s="667"/>
      <c r="F375" s="628" t="s">
        <v>364</v>
      </c>
      <c r="G375" s="668"/>
      <c r="H375" s="668"/>
      <c r="I375" s="668"/>
      <c r="J375" s="668"/>
      <c r="K375" s="668"/>
      <c r="L375" s="668"/>
      <c r="M375" s="661"/>
      <c r="N375" s="605">
        <f>'RAB 2.2.16'!S80</f>
        <v>413300</v>
      </c>
      <c r="O375" s="637"/>
    </row>
    <row r="376" spans="1:15" s="242" customFormat="1" ht="15" customHeight="1">
      <c r="A376" s="660"/>
      <c r="B376" s="664"/>
      <c r="C376" s="664"/>
      <c r="D376" s="664"/>
      <c r="E376" s="667"/>
      <c r="F376" s="671" t="s">
        <v>391</v>
      </c>
      <c r="G376" s="668"/>
      <c r="H376" s="668"/>
      <c r="I376" s="668"/>
      <c r="J376" s="668"/>
      <c r="K376" s="668"/>
      <c r="L376" s="668"/>
      <c r="M376" s="661"/>
      <c r="N376" s="605">
        <f>'RAB 2.2.16'!S81</f>
        <v>8750000</v>
      </c>
      <c r="O376" s="637"/>
    </row>
    <row r="377" spans="1:15" s="242" customFormat="1" ht="15" customHeight="1">
      <c r="A377" s="660"/>
      <c r="B377" s="664"/>
      <c r="C377" s="664"/>
      <c r="D377" s="664"/>
      <c r="E377" s="667"/>
      <c r="F377" s="671" t="str">
        <f>'RAB 2.2.16'!I82</f>
        <v>Prasasti</v>
      </c>
      <c r="G377" s="668"/>
      <c r="H377" s="668"/>
      <c r="I377" s="668"/>
      <c r="J377" s="668"/>
      <c r="K377" s="668"/>
      <c r="L377" s="668"/>
      <c r="M377" s="661"/>
      <c r="N377" s="605">
        <f>'RAB 2.2.16'!S82</f>
        <v>450000</v>
      </c>
      <c r="O377" s="637"/>
    </row>
    <row r="378" spans="1:15" s="242" customFormat="1" ht="6" customHeight="1">
      <c r="A378" s="497"/>
      <c r="B378" s="426"/>
      <c r="C378" s="426"/>
      <c r="D378" s="426"/>
      <c r="E378" s="607"/>
      <c r="F378" s="618"/>
      <c r="G378" s="590"/>
      <c r="H378" s="590"/>
      <c r="I378" s="590"/>
      <c r="J378" s="590"/>
      <c r="K378" s="590"/>
      <c r="L378" s="590"/>
      <c r="M378" s="498"/>
      <c r="N378" s="605"/>
      <c r="O378" s="637"/>
    </row>
    <row r="379" spans="1:15" s="242" customFormat="1" ht="15" customHeight="1">
      <c r="A379" s="497"/>
      <c r="B379" s="426"/>
      <c r="C379" s="426"/>
      <c r="D379" s="426"/>
      <c r="E379" s="614" t="s">
        <v>14</v>
      </c>
      <c r="F379" s="619" t="str">
        <f>'RAB 2.2.16'!I84</f>
        <v>Rehab TK-PGRI Cibollo</v>
      </c>
      <c r="G379" s="604"/>
      <c r="H379" s="604"/>
      <c r="I379" s="604"/>
      <c r="J379" s="604"/>
      <c r="K379" s="604"/>
      <c r="L379" s="604"/>
      <c r="M379" s="484"/>
      <c r="N379" s="598">
        <f>SUM(N380:N387)</f>
        <v>16294500</v>
      </c>
      <c r="O379" s="637"/>
    </row>
    <row r="380" spans="1:15" s="242" customFormat="1" ht="15" customHeight="1">
      <c r="A380" s="497"/>
      <c r="B380" s="426"/>
      <c r="C380" s="426"/>
      <c r="D380" s="426"/>
      <c r="E380" s="607"/>
      <c r="F380" s="618" t="str">
        <f>'RAB 2.2.16'!I85</f>
        <v>Pasir Pasang</v>
      </c>
      <c r="G380" s="590"/>
      <c r="H380" s="590"/>
      <c r="I380" s="590"/>
      <c r="J380" s="590"/>
      <c r="K380" s="590"/>
      <c r="L380" s="590"/>
      <c r="M380" s="498"/>
      <c r="N380" s="605">
        <f>'RAB 2.2.16'!S85</f>
        <v>225000</v>
      </c>
      <c r="O380" s="637"/>
    </row>
    <row r="381" spans="1:15" s="242" customFormat="1" ht="15" customHeight="1">
      <c r="A381" s="497"/>
      <c r="B381" s="426"/>
      <c r="C381" s="426"/>
      <c r="D381" s="426"/>
      <c r="E381" s="607"/>
      <c r="F381" s="618" t="str">
        <f>'RAB 2.2.16'!I86</f>
        <v>Semen</v>
      </c>
      <c r="G381" s="590"/>
      <c r="H381" s="590"/>
      <c r="I381" s="590"/>
      <c r="J381" s="590"/>
      <c r="K381" s="590"/>
      <c r="L381" s="590"/>
      <c r="M381" s="498"/>
      <c r="N381" s="605">
        <f>'RAB 2.2.16'!S86</f>
        <v>130000</v>
      </c>
      <c r="O381" s="637"/>
    </row>
    <row r="382" spans="1:15" s="242" customFormat="1" ht="15" customHeight="1">
      <c r="A382" s="497"/>
      <c r="B382" s="426"/>
      <c r="C382" s="426"/>
      <c r="D382" s="426"/>
      <c r="E382" s="607"/>
      <c r="F382" s="618" t="str">
        <f>'RAB 2.2.16'!I87</f>
        <v>Keramik 20/20</v>
      </c>
      <c r="G382" s="590"/>
      <c r="H382" s="590"/>
      <c r="I382" s="590"/>
      <c r="J382" s="590"/>
      <c r="K382" s="590"/>
      <c r="L382" s="590"/>
      <c r="M382" s="498"/>
      <c r="N382" s="605">
        <f>'RAB 2.2.16'!S87</f>
        <v>300000</v>
      </c>
      <c r="O382" s="637"/>
    </row>
    <row r="383" spans="1:15" s="242" customFormat="1" ht="15" customHeight="1">
      <c r="A383" s="497"/>
      <c r="B383" s="426"/>
      <c r="C383" s="426"/>
      <c r="D383" s="426"/>
      <c r="E383" s="607"/>
      <c r="F383" s="618" t="str">
        <f>'RAB 2.2.16'!I88</f>
        <v>Pipa Pembuangan</v>
      </c>
      <c r="G383" s="590"/>
      <c r="H383" s="590"/>
      <c r="I383" s="590"/>
      <c r="J383" s="590"/>
      <c r="K383" s="590"/>
      <c r="L383" s="590"/>
      <c r="M383" s="498"/>
      <c r="N383" s="605">
        <f>'RAB 2.2.16'!S88</f>
        <v>140000</v>
      </c>
      <c r="O383" s="637"/>
    </row>
    <row r="384" spans="1:15" s="242" customFormat="1" ht="15" customHeight="1">
      <c r="A384" s="497"/>
      <c r="B384" s="426"/>
      <c r="C384" s="426"/>
      <c r="D384" s="426"/>
      <c r="E384" s="607"/>
      <c r="F384" s="618" t="str">
        <f>'RAB 2.2.16'!I89</f>
        <v>Rangka Baja Ringan</v>
      </c>
      <c r="G384" s="590"/>
      <c r="H384" s="590"/>
      <c r="I384" s="590"/>
      <c r="J384" s="590"/>
      <c r="K384" s="590"/>
      <c r="L384" s="590"/>
      <c r="M384" s="498"/>
      <c r="N384" s="605">
        <f>'RAB 2.2.16'!S89</f>
        <v>5525000</v>
      </c>
      <c r="O384" s="637"/>
    </row>
    <row r="385" spans="1:15" s="242" customFormat="1" ht="15" customHeight="1">
      <c r="A385" s="497"/>
      <c r="B385" s="426"/>
      <c r="C385" s="426"/>
      <c r="D385" s="426"/>
      <c r="E385" s="607"/>
      <c r="F385" s="618" t="str">
        <f>'RAB 2.2.16'!I90</f>
        <v>Reng Baja Ringan</v>
      </c>
      <c r="G385" s="590"/>
      <c r="H385" s="590"/>
      <c r="I385" s="590"/>
      <c r="J385" s="590"/>
      <c r="K385" s="590"/>
      <c r="L385" s="590"/>
      <c r="M385" s="498"/>
      <c r="N385" s="605">
        <f>'RAB 2.2.16'!S90</f>
        <v>1800000</v>
      </c>
      <c r="O385" s="637"/>
    </row>
    <row r="386" spans="1:15" s="242" customFormat="1" ht="15" customHeight="1">
      <c r="A386" s="497"/>
      <c r="B386" s="426"/>
      <c r="C386" s="426"/>
      <c r="D386" s="426"/>
      <c r="E386" s="607"/>
      <c r="F386" s="618" t="str">
        <f>'RAB 2.2.16'!I91</f>
        <v>Baut-baut</v>
      </c>
      <c r="G386" s="590"/>
      <c r="H386" s="590"/>
      <c r="I386" s="590"/>
      <c r="J386" s="590"/>
      <c r="K386" s="590"/>
      <c r="L386" s="590"/>
      <c r="M386" s="498"/>
      <c r="N386" s="605">
        <f>'RAB 2.2.16'!S91</f>
        <v>700000</v>
      </c>
      <c r="O386" s="637"/>
    </row>
    <row r="387" spans="1:15" s="242" customFormat="1" ht="15" customHeight="1">
      <c r="A387" s="497"/>
      <c r="B387" s="426"/>
      <c r="C387" s="426"/>
      <c r="D387" s="426"/>
      <c r="E387" s="607"/>
      <c r="F387" s="618" t="str">
        <f>'RAB 2.2.16'!I92</f>
        <v>Seng Spandek</v>
      </c>
      <c r="G387" s="590"/>
      <c r="H387" s="590"/>
      <c r="I387" s="590"/>
      <c r="J387" s="590"/>
      <c r="K387" s="590"/>
      <c r="L387" s="590"/>
      <c r="M387" s="498"/>
      <c r="N387" s="605">
        <f>'RAB 2.2.16'!S92</f>
        <v>7474500</v>
      </c>
      <c r="O387" s="637"/>
    </row>
    <row r="388" spans="1:15" s="242" customFormat="1" ht="15" customHeight="1">
      <c r="A388" s="451"/>
      <c r="B388" s="451"/>
      <c r="C388" s="451"/>
      <c r="D388" s="451"/>
      <c r="E388" s="616"/>
      <c r="F388" s="654"/>
      <c r="G388" s="616"/>
      <c r="H388" s="616"/>
      <c r="I388" s="616"/>
      <c r="J388" s="616"/>
      <c r="K388" s="616"/>
      <c r="L388" s="616"/>
      <c r="M388" s="451"/>
      <c r="N388" s="642"/>
      <c r="O388" s="643"/>
    </row>
    <row r="389" spans="1:15" s="242" customFormat="1" ht="15" customHeight="1">
      <c r="A389" s="286"/>
      <c r="B389" s="286"/>
      <c r="C389" s="286"/>
      <c r="D389" s="286"/>
      <c r="E389" s="655"/>
      <c r="F389" s="656"/>
      <c r="G389" s="655"/>
      <c r="H389" s="655"/>
      <c r="I389" s="655"/>
      <c r="J389" s="655"/>
      <c r="K389" s="655"/>
      <c r="L389" s="655"/>
      <c r="M389" s="286"/>
      <c r="N389" s="645"/>
      <c r="O389" s="646"/>
    </row>
    <row r="390" spans="1:15" s="242" customFormat="1" ht="15" customHeight="1">
      <c r="A390" s="286"/>
      <c r="B390" s="286"/>
      <c r="C390" s="286"/>
      <c r="D390" s="286"/>
      <c r="E390" s="655"/>
      <c r="F390" s="656"/>
      <c r="G390" s="655"/>
      <c r="H390" s="655"/>
      <c r="I390" s="655"/>
      <c r="J390" s="655"/>
      <c r="K390" s="655"/>
      <c r="L390" s="655"/>
      <c r="M390" s="286"/>
      <c r="N390" s="645"/>
      <c r="O390" s="646"/>
    </row>
    <row r="391" spans="1:15" s="242" customFormat="1" ht="15" customHeight="1">
      <c r="A391" s="286"/>
      <c r="B391" s="286"/>
      <c r="C391" s="286"/>
      <c r="D391" s="286"/>
      <c r="E391" s="655"/>
      <c r="F391" s="656"/>
      <c r="G391" s="655"/>
      <c r="H391" s="655"/>
      <c r="I391" s="655"/>
      <c r="J391" s="655"/>
      <c r="K391" s="655"/>
      <c r="L391" s="655"/>
      <c r="M391" s="286"/>
      <c r="N391" s="645"/>
      <c r="O391" s="646"/>
    </row>
    <row r="392" spans="1:15" s="242" customFormat="1" ht="15" customHeight="1">
      <c r="A392" s="286"/>
      <c r="B392" s="286"/>
      <c r="C392" s="286"/>
      <c r="D392" s="286"/>
      <c r="E392" s="655"/>
      <c r="F392" s="656"/>
      <c r="G392" s="655"/>
      <c r="H392" s="655"/>
      <c r="I392" s="655"/>
      <c r="J392" s="655"/>
      <c r="K392" s="655"/>
      <c r="L392" s="655"/>
      <c r="M392" s="286"/>
      <c r="N392" s="645"/>
      <c r="O392" s="646"/>
    </row>
    <row r="393" spans="1:15" s="242" customFormat="1" ht="15" customHeight="1">
      <c r="A393" s="670"/>
      <c r="B393" s="670"/>
      <c r="C393" s="670"/>
      <c r="D393" s="670"/>
      <c r="E393" s="670"/>
      <c r="F393" s="765"/>
      <c r="G393" s="765"/>
      <c r="H393" s="765"/>
      <c r="I393" s="765"/>
      <c r="J393" s="765"/>
      <c r="K393" s="765"/>
      <c r="L393" s="765"/>
      <c r="M393" s="670"/>
      <c r="N393" s="648"/>
      <c r="O393" s="649"/>
    </row>
    <row r="394" spans="1:15" s="242" customFormat="1" ht="15" customHeight="1">
      <c r="A394" s="482">
        <v>2</v>
      </c>
      <c r="B394" s="513">
        <v>3</v>
      </c>
      <c r="C394" s="513"/>
      <c r="D394" s="513"/>
      <c r="E394" s="762" t="s">
        <v>450</v>
      </c>
      <c r="F394" s="763"/>
      <c r="G394" s="763"/>
      <c r="H394" s="763"/>
      <c r="I394" s="763"/>
      <c r="J394" s="763"/>
      <c r="K394" s="763"/>
      <c r="L394" s="763"/>
      <c r="M394" s="484"/>
      <c r="N394" s="598">
        <f>SUM(N396+N400+N408+N415+N421+N425)</f>
        <v>38968700</v>
      </c>
      <c r="O394" s="637"/>
    </row>
    <row r="395" spans="1:15" s="242" customFormat="1" ht="15" customHeight="1">
      <c r="A395" s="482"/>
      <c r="B395" s="513"/>
      <c r="C395" s="513"/>
      <c r="D395" s="513"/>
      <c r="E395" s="603"/>
      <c r="F395" s="604"/>
      <c r="G395" s="604"/>
      <c r="H395" s="604"/>
      <c r="I395" s="604"/>
      <c r="J395" s="604"/>
      <c r="K395" s="604"/>
      <c r="L395" s="604"/>
      <c r="M395" s="484"/>
      <c r="N395" s="598"/>
      <c r="O395" s="637"/>
    </row>
    <row r="396" spans="1:15" s="242" customFormat="1" ht="15" customHeight="1">
      <c r="A396" s="497">
        <v>2</v>
      </c>
      <c r="B396" s="426">
        <v>3</v>
      </c>
      <c r="C396" s="426">
        <v>1</v>
      </c>
      <c r="D396" s="426"/>
      <c r="E396" s="593" t="s">
        <v>156</v>
      </c>
      <c r="F396" s="594"/>
      <c r="G396" s="594"/>
      <c r="H396" s="594"/>
      <c r="I396" s="594"/>
      <c r="J396" s="594"/>
      <c r="K396" s="594"/>
      <c r="L396" s="594"/>
      <c r="M396" s="498"/>
      <c r="N396" s="598">
        <f>SUM(N397)</f>
        <v>7680000</v>
      </c>
      <c r="O396" s="637" t="s">
        <v>480</v>
      </c>
    </row>
    <row r="397" spans="1:15" s="242" customFormat="1" ht="15" customHeight="1">
      <c r="A397" s="497">
        <v>2</v>
      </c>
      <c r="B397" s="426">
        <v>3</v>
      </c>
      <c r="C397" s="426">
        <v>1</v>
      </c>
      <c r="D397" s="426">
        <v>1</v>
      </c>
      <c r="E397" s="758" t="s">
        <v>29</v>
      </c>
      <c r="F397" s="759"/>
      <c r="G397" s="759"/>
      <c r="H397" s="759"/>
      <c r="I397" s="759"/>
      <c r="J397" s="759"/>
      <c r="K397" s="759"/>
      <c r="L397" s="759"/>
      <c r="M397" s="606"/>
      <c r="N397" s="598">
        <f>SUM(N398:N398)</f>
        <v>7680000</v>
      </c>
      <c r="O397" s="637"/>
    </row>
    <row r="398" spans="1:15" s="242" customFormat="1" ht="15" customHeight="1">
      <c r="A398" s="497"/>
      <c r="B398" s="426"/>
      <c r="C398" s="426"/>
      <c r="D398" s="426"/>
      <c r="E398" s="600" t="s">
        <v>14</v>
      </c>
      <c r="F398" s="759" t="s">
        <v>198</v>
      </c>
      <c r="G398" s="759"/>
      <c r="H398" s="610"/>
      <c r="I398" s="427"/>
      <c r="J398" s="427"/>
      <c r="K398" s="427"/>
      <c r="L398" s="427"/>
      <c r="M398" s="498"/>
      <c r="N398" s="605">
        <f>'RAB 2.3.1OKE'!Q16</f>
        <v>7680000</v>
      </c>
      <c r="O398" s="637"/>
    </row>
    <row r="399" spans="1:15" s="242" customFormat="1" ht="15" customHeight="1">
      <c r="A399" s="497"/>
      <c r="B399" s="426"/>
      <c r="C399" s="426"/>
      <c r="D399" s="426"/>
      <c r="E399" s="600"/>
      <c r="F399" s="590"/>
      <c r="G399" s="590"/>
      <c r="H399" s="610"/>
      <c r="I399" s="427"/>
      <c r="J399" s="427"/>
      <c r="K399" s="427"/>
      <c r="L399" s="427"/>
      <c r="M399" s="498"/>
      <c r="N399" s="605"/>
      <c r="O399" s="637"/>
    </row>
    <row r="400" spans="1:15" s="242" customFormat="1" ht="15" customHeight="1">
      <c r="A400" s="620">
        <v>2</v>
      </c>
      <c r="B400" s="621">
        <v>3</v>
      </c>
      <c r="C400" s="621">
        <v>2</v>
      </c>
      <c r="D400" s="426"/>
      <c r="E400" s="607" t="s">
        <v>172</v>
      </c>
      <c r="F400" s="590"/>
      <c r="G400" s="590"/>
      <c r="H400" s="427"/>
      <c r="I400" s="427"/>
      <c r="J400" s="427"/>
      <c r="K400" s="427"/>
      <c r="L400" s="427"/>
      <c r="M400" s="498"/>
      <c r="N400" s="598">
        <f>N401+N403</f>
        <v>2663000</v>
      </c>
      <c r="O400" s="637" t="s">
        <v>288</v>
      </c>
    </row>
    <row r="401" spans="1:15" s="242" customFormat="1" ht="15" customHeight="1">
      <c r="A401" s="620">
        <v>2</v>
      </c>
      <c r="B401" s="621">
        <v>3</v>
      </c>
      <c r="C401" s="621">
        <v>2</v>
      </c>
      <c r="D401" s="426">
        <v>1</v>
      </c>
      <c r="E401" s="758" t="s">
        <v>29</v>
      </c>
      <c r="F401" s="759"/>
      <c r="G401" s="759"/>
      <c r="H401" s="427"/>
      <c r="I401" s="427"/>
      <c r="J401" s="427"/>
      <c r="K401" s="427"/>
      <c r="L401" s="590"/>
      <c r="M401" s="606"/>
      <c r="N401" s="598">
        <f>SUM(N402:N402)</f>
        <v>263000</v>
      </c>
      <c r="O401" s="637"/>
    </row>
    <row r="402" spans="1:15" s="242" customFormat="1" ht="15" customHeight="1">
      <c r="A402" s="620"/>
      <c r="B402" s="621"/>
      <c r="C402" s="621"/>
      <c r="D402" s="426"/>
      <c r="E402" s="600" t="s">
        <v>14</v>
      </c>
      <c r="F402" s="759" t="s">
        <v>77</v>
      </c>
      <c r="G402" s="759"/>
      <c r="H402" s="610"/>
      <c r="I402" s="427"/>
      <c r="J402" s="427"/>
      <c r="K402" s="427"/>
      <c r="L402" s="427"/>
      <c r="M402" s="498"/>
      <c r="N402" s="605">
        <f>'RAB 2.3.2 OKE'!Q16</f>
        <v>263000</v>
      </c>
      <c r="O402" s="637"/>
    </row>
    <row r="403" spans="1:15" s="242" customFormat="1" ht="15" customHeight="1">
      <c r="A403" s="620"/>
      <c r="B403" s="621"/>
      <c r="C403" s="621"/>
      <c r="D403" s="426"/>
      <c r="E403" s="600" t="s">
        <v>14</v>
      </c>
      <c r="F403" s="590" t="s">
        <v>529</v>
      </c>
      <c r="G403" s="590"/>
      <c r="H403" s="610"/>
      <c r="I403" s="427"/>
      <c r="J403" s="427"/>
      <c r="K403" s="427"/>
      <c r="L403" s="427"/>
      <c r="M403" s="498"/>
      <c r="N403" s="598">
        <f>SUM(N404:N406)</f>
        <v>2400000</v>
      </c>
      <c r="O403" s="637"/>
    </row>
    <row r="404" spans="1:15" s="242" customFormat="1" ht="15" customHeight="1">
      <c r="A404" s="620"/>
      <c r="B404" s="621"/>
      <c r="C404" s="621"/>
      <c r="D404" s="426"/>
      <c r="E404" s="600"/>
      <c r="F404" s="609" t="s">
        <v>14</v>
      </c>
      <c r="G404" s="590" t="s">
        <v>475</v>
      </c>
      <c r="H404" s="610"/>
      <c r="I404" s="427"/>
      <c r="J404" s="427"/>
      <c r="K404" s="427"/>
      <c r="L404" s="427"/>
      <c r="M404" s="498"/>
      <c r="N404" s="605">
        <f>'RAB 2.3.2 OKE'!Q23</f>
        <v>1400000</v>
      </c>
      <c r="O404" s="637"/>
    </row>
    <row r="405" spans="1:15" s="242" customFormat="1" ht="15" customHeight="1">
      <c r="A405" s="620"/>
      <c r="B405" s="621"/>
      <c r="C405" s="621"/>
      <c r="D405" s="426"/>
      <c r="E405" s="600"/>
      <c r="F405" s="609" t="s">
        <v>14</v>
      </c>
      <c r="G405" s="590" t="s">
        <v>477</v>
      </c>
      <c r="H405" s="610"/>
      <c r="I405" s="427"/>
      <c r="J405" s="427"/>
      <c r="K405" s="427"/>
      <c r="L405" s="427"/>
      <c r="M405" s="498"/>
      <c r="N405" s="605">
        <f>'RAB 2.3.2 OKE'!Q27</f>
        <v>700000</v>
      </c>
      <c r="O405" s="637"/>
    </row>
    <row r="406" spans="1:15" s="242" customFormat="1" ht="15" customHeight="1">
      <c r="A406" s="620"/>
      <c r="B406" s="621"/>
      <c r="C406" s="621"/>
      <c r="D406" s="426"/>
      <c r="E406" s="600"/>
      <c r="F406" s="609" t="s">
        <v>14</v>
      </c>
      <c r="G406" s="590" t="s">
        <v>530</v>
      </c>
      <c r="H406" s="610"/>
      <c r="I406" s="427"/>
      <c r="J406" s="427"/>
      <c r="K406" s="427"/>
      <c r="L406" s="427"/>
      <c r="M406" s="498"/>
      <c r="N406" s="605">
        <f>'RAB 2.3.2 OKE'!Q31</f>
        <v>300000</v>
      </c>
      <c r="O406" s="637"/>
    </row>
    <row r="407" spans="1:15" s="242" customFormat="1" ht="15" customHeight="1">
      <c r="A407" s="620"/>
      <c r="B407" s="621"/>
      <c r="C407" s="621"/>
      <c r="D407" s="426"/>
      <c r="E407" s="600"/>
      <c r="F407" s="609"/>
      <c r="G407" s="590"/>
      <c r="H407" s="610"/>
      <c r="I407" s="427"/>
      <c r="J407" s="427"/>
      <c r="K407" s="427"/>
      <c r="L407" s="427"/>
      <c r="M407" s="498"/>
      <c r="N407" s="605"/>
      <c r="O407" s="637"/>
    </row>
    <row r="408" spans="1:15" s="242" customFormat="1" ht="15" customHeight="1">
      <c r="A408" s="620">
        <v>2</v>
      </c>
      <c r="B408" s="621">
        <v>3</v>
      </c>
      <c r="C408" s="621">
        <v>4</v>
      </c>
      <c r="D408" s="426"/>
      <c r="E408" s="607" t="s">
        <v>200</v>
      </c>
      <c r="F408" s="590"/>
      <c r="G408" s="590"/>
      <c r="H408" s="427"/>
      <c r="I408" s="427"/>
      <c r="J408" s="427"/>
      <c r="K408" s="427"/>
      <c r="L408" s="427"/>
      <c r="M408" s="498"/>
      <c r="N408" s="598">
        <f>SUM(N409)</f>
        <v>10980000</v>
      </c>
      <c r="O408" s="637" t="s">
        <v>288</v>
      </c>
    </row>
    <row r="409" spans="1:15" s="242" customFormat="1" ht="15" customHeight="1">
      <c r="A409" s="620">
        <v>2</v>
      </c>
      <c r="B409" s="621">
        <v>3</v>
      </c>
      <c r="C409" s="621">
        <v>4</v>
      </c>
      <c r="D409" s="426">
        <v>1</v>
      </c>
      <c r="E409" s="758" t="s">
        <v>29</v>
      </c>
      <c r="F409" s="759"/>
      <c r="G409" s="759"/>
      <c r="H409" s="427"/>
      <c r="I409" s="427"/>
      <c r="J409" s="427"/>
      <c r="K409" s="427"/>
      <c r="L409" s="590"/>
      <c r="M409" s="606"/>
      <c r="N409" s="598">
        <f>N410+N411</f>
        <v>10980000</v>
      </c>
      <c r="O409" s="637"/>
    </row>
    <row r="410" spans="1:15" s="242" customFormat="1" ht="15" customHeight="1">
      <c r="A410" s="620"/>
      <c r="B410" s="621"/>
      <c r="C410" s="621"/>
      <c r="D410" s="426"/>
      <c r="E410" s="600" t="s">
        <v>14</v>
      </c>
      <c r="F410" s="759" t="s">
        <v>201</v>
      </c>
      <c r="G410" s="759"/>
      <c r="H410" s="610"/>
      <c r="I410" s="427"/>
      <c r="J410" s="427"/>
      <c r="K410" s="427"/>
      <c r="L410" s="427"/>
      <c r="M410" s="498"/>
      <c r="N410" s="605">
        <f>'RAB 2.3.4 OKE'!Q17</f>
        <v>7920000</v>
      </c>
      <c r="O410" s="637"/>
    </row>
    <row r="411" spans="1:15" s="242" customFormat="1" ht="15" customHeight="1">
      <c r="A411" s="620"/>
      <c r="B411" s="621"/>
      <c r="C411" s="621"/>
      <c r="D411" s="426"/>
      <c r="E411" s="600" t="s">
        <v>14</v>
      </c>
      <c r="F411" s="590" t="s">
        <v>545</v>
      </c>
      <c r="G411" s="590"/>
      <c r="H411" s="610"/>
      <c r="I411" s="427"/>
      <c r="J411" s="427"/>
      <c r="K411" s="427"/>
      <c r="L411" s="427"/>
      <c r="M411" s="498"/>
      <c r="N411" s="605">
        <f>SUM(N412:N413)</f>
        <v>3060000</v>
      </c>
      <c r="O411" s="637"/>
    </row>
    <row r="412" spans="1:15" s="242" customFormat="1" ht="15" customHeight="1">
      <c r="A412" s="620"/>
      <c r="B412" s="621"/>
      <c r="C412" s="621"/>
      <c r="D412" s="426"/>
      <c r="E412" s="600"/>
      <c r="F412" s="609" t="s">
        <v>14</v>
      </c>
      <c r="G412" s="590" t="s">
        <v>548</v>
      </c>
      <c r="H412" s="610"/>
      <c r="I412" s="427"/>
      <c r="J412" s="427"/>
      <c r="K412" s="427"/>
      <c r="L412" s="427"/>
      <c r="M412" s="498"/>
      <c r="N412" s="605">
        <f>'RAB 2.3.4 OKE'!Q20</f>
        <v>660000</v>
      </c>
      <c r="O412" s="637"/>
    </row>
    <row r="413" spans="1:15" s="242" customFormat="1" ht="15" customHeight="1">
      <c r="A413" s="620"/>
      <c r="B413" s="621"/>
      <c r="C413" s="621"/>
      <c r="D413" s="426"/>
      <c r="E413" s="600"/>
      <c r="F413" s="609" t="s">
        <v>14</v>
      </c>
      <c r="G413" s="590" t="s">
        <v>549</v>
      </c>
      <c r="H413" s="610"/>
      <c r="I413" s="427"/>
      <c r="J413" s="427"/>
      <c r="K413" s="427"/>
      <c r="L413" s="427"/>
      <c r="M413" s="498"/>
      <c r="N413" s="605">
        <f>'RAB 2.3.4 OKE'!Q21</f>
        <v>2400000</v>
      </c>
      <c r="O413" s="637"/>
    </row>
    <row r="414" spans="1:15" s="242" customFormat="1" ht="15" customHeight="1">
      <c r="A414" s="497"/>
      <c r="B414" s="426"/>
      <c r="C414" s="426"/>
      <c r="D414" s="426"/>
      <c r="E414" s="497"/>
      <c r="F414" s="622"/>
      <c r="G414" s="610"/>
      <c r="H414" s="610"/>
      <c r="I414" s="427"/>
      <c r="J414" s="427"/>
      <c r="K414" s="427"/>
      <c r="L414" s="427"/>
      <c r="M414" s="498"/>
      <c r="N414" s="591"/>
      <c r="O414" s="637"/>
    </row>
    <row r="415" spans="1:15" s="242" customFormat="1" ht="15" customHeight="1">
      <c r="A415" s="620">
        <v>2</v>
      </c>
      <c r="B415" s="621">
        <v>3</v>
      </c>
      <c r="C415" s="621">
        <v>6</v>
      </c>
      <c r="D415" s="426"/>
      <c r="E415" s="607" t="s">
        <v>209</v>
      </c>
      <c r="F415" s="590"/>
      <c r="G415" s="590"/>
      <c r="H415" s="427"/>
      <c r="I415" s="427"/>
      <c r="J415" s="427"/>
      <c r="K415" s="427"/>
      <c r="L415" s="427"/>
      <c r="M415" s="498"/>
      <c r="N415" s="598">
        <f>N416</f>
        <v>2945700</v>
      </c>
      <c r="O415" s="637" t="s">
        <v>288</v>
      </c>
    </row>
    <row r="416" spans="1:15" s="242" customFormat="1" ht="15" customHeight="1">
      <c r="A416" s="620">
        <v>2</v>
      </c>
      <c r="B416" s="621">
        <v>3</v>
      </c>
      <c r="C416" s="621">
        <v>6</v>
      </c>
      <c r="D416" s="426">
        <v>1</v>
      </c>
      <c r="E416" s="758" t="s">
        <v>29</v>
      </c>
      <c r="F416" s="759"/>
      <c r="G416" s="759"/>
      <c r="H416" s="427"/>
      <c r="I416" s="427"/>
      <c r="J416" s="427"/>
      <c r="K416" s="427"/>
      <c r="L416" s="590"/>
      <c r="M416" s="606"/>
      <c r="N416" s="598">
        <f>SUM(N417:N419)</f>
        <v>2945700</v>
      </c>
      <c r="O416" s="637"/>
    </row>
    <row r="417" spans="1:15" s="242" customFormat="1" ht="15" customHeight="1">
      <c r="A417" s="620"/>
      <c r="B417" s="621"/>
      <c r="C417" s="621"/>
      <c r="D417" s="426"/>
      <c r="E417" s="600" t="s">
        <v>14</v>
      </c>
      <c r="F417" s="759" t="str">
        <f>'RAB 2.3.6'!G17</f>
        <v>Raket</v>
      </c>
      <c r="G417" s="759"/>
      <c r="H417" s="610"/>
      <c r="I417" s="427"/>
      <c r="J417" s="427"/>
      <c r="K417" s="427"/>
      <c r="L417" s="427"/>
      <c r="M417" s="498"/>
      <c r="N417" s="605">
        <f>'RAB 2.3.6'!Q17</f>
        <v>2600000</v>
      </c>
      <c r="O417" s="637"/>
    </row>
    <row r="418" spans="1:15" s="242" customFormat="1" ht="15" customHeight="1">
      <c r="A418" s="620"/>
      <c r="B418" s="621"/>
      <c r="C418" s="621"/>
      <c r="D418" s="426"/>
      <c r="E418" s="600" t="s">
        <v>14</v>
      </c>
      <c r="F418" s="759" t="s">
        <v>270</v>
      </c>
      <c r="G418" s="759"/>
      <c r="H418" s="610"/>
      <c r="I418" s="427"/>
      <c r="J418" s="427"/>
      <c r="K418" s="427"/>
      <c r="L418" s="427"/>
      <c r="M418" s="498"/>
      <c r="N418" s="605">
        <f>'RAB 2.3.6'!Q18</f>
        <v>200000</v>
      </c>
      <c r="O418" s="637"/>
    </row>
    <row r="419" spans="1:15" s="242" customFormat="1" ht="15" customHeight="1">
      <c r="A419" s="497"/>
      <c r="B419" s="426"/>
      <c r="C419" s="426"/>
      <c r="D419" s="426"/>
      <c r="E419" s="600" t="s">
        <v>14</v>
      </c>
      <c r="F419" s="590" t="str">
        <f>'RAB 2.3.6'!G19</f>
        <v>Net</v>
      </c>
      <c r="G419" s="611"/>
      <c r="H419" s="610"/>
      <c r="I419" s="427"/>
      <c r="J419" s="427"/>
      <c r="K419" s="427"/>
      <c r="L419" s="427"/>
      <c r="M419" s="498"/>
      <c r="N419" s="591">
        <f>'RAB 2.3.6'!Q19</f>
        <v>145700</v>
      </c>
      <c r="O419" s="637"/>
    </row>
    <row r="420" spans="1:15" s="242" customFormat="1" ht="15" customHeight="1">
      <c r="A420" s="497"/>
      <c r="B420" s="426"/>
      <c r="C420" s="426"/>
      <c r="D420" s="426"/>
      <c r="E420" s="600"/>
      <c r="F420" s="590"/>
      <c r="G420" s="611"/>
      <c r="H420" s="610"/>
      <c r="I420" s="427"/>
      <c r="J420" s="427"/>
      <c r="K420" s="427"/>
      <c r="L420" s="427"/>
      <c r="M420" s="498"/>
      <c r="N420" s="591"/>
      <c r="O420" s="637"/>
    </row>
    <row r="421" spans="1:15" s="242" customFormat="1" ht="15" customHeight="1">
      <c r="A421" s="497">
        <v>2</v>
      </c>
      <c r="B421" s="426">
        <v>3</v>
      </c>
      <c r="C421" s="426">
        <v>8</v>
      </c>
      <c r="D421" s="426"/>
      <c r="E421" s="593" t="s">
        <v>319</v>
      </c>
      <c r="F421" s="594"/>
      <c r="G421" s="594"/>
      <c r="H421" s="594"/>
      <c r="I421" s="594"/>
      <c r="J421" s="594"/>
      <c r="K421" s="594"/>
      <c r="L421" s="594"/>
      <c r="M421" s="498"/>
      <c r="N421" s="598">
        <f>SUM(N422)</f>
        <v>6900000</v>
      </c>
      <c r="O421" s="637" t="s">
        <v>484</v>
      </c>
    </row>
    <row r="422" spans="1:15" s="242" customFormat="1" ht="15" customHeight="1">
      <c r="A422" s="497">
        <v>2</v>
      </c>
      <c r="B422" s="426">
        <v>3</v>
      </c>
      <c r="C422" s="426">
        <v>8</v>
      </c>
      <c r="D422" s="426">
        <v>1</v>
      </c>
      <c r="E422" s="758" t="s">
        <v>29</v>
      </c>
      <c r="F422" s="759"/>
      <c r="G422" s="759"/>
      <c r="H422" s="759"/>
      <c r="I422" s="759"/>
      <c r="J422" s="759"/>
      <c r="K422" s="759"/>
      <c r="L422" s="759"/>
      <c r="M422" s="606"/>
      <c r="N422" s="598">
        <f>SUM(N423:N423)</f>
        <v>6900000</v>
      </c>
      <c r="O422" s="637"/>
    </row>
    <row r="423" spans="1:15" s="242" customFormat="1" ht="15" customHeight="1">
      <c r="A423" s="497"/>
      <c r="B423" s="426"/>
      <c r="C423" s="426"/>
      <c r="D423" s="426"/>
      <c r="E423" s="600" t="s">
        <v>14</v>
      </c>
      <c r="F423" s="759" t="s">
        <v>318</v>
      </c>
      <c r="G423" s="759"/>
      <c r="H423" s="610"/>
      <c r="I423" s="427"/>
      <c r="J423" s="427"/>
      <c r="K423" s="427"/>
      <c r="L423" s="427"/>
      <c r="M423" s="498"/>
      <c r="N423" s="605">
        <f>'RAB 2.3.8 OKE '!Q24</f>
        <v>6900000</v>
      </c>
      <c r="O423" s="637"/>
    </row>
    <row r="424" spans="1:15" s="242" customFormat="1" ht="15" customHeight="1">
      <c r="A424" s="620"/>
      <c r="B424" s="621"/>
      <c r="C424" s="621"/>
      <c r="D424" s="426"/>
      <c r="E424" s="600"/>
      <c r="F424" s="590"/>
      <c r="G424" s="590"/>
      <c r="H424" s="610"/>
      <c r="I424" s="427"/>
      <c r="J424" s="427"/>
      <c r="K424" s="427"/>
      <c r="L424" s="427"/>
      <c r="M424" s="498"/>
      <c r="N424" s="605"/>
      <c r="O424" s="637"/>
    </row>
    <row r="425" spans="1:15" s="242" customFormat="1" ht="15" customHeight="1">
      <c r="A425" s="497">
        <v>2</v>
      </c>
      <c r="B425" s="426">
        <v>3</v>
      </c>
      <c r="C425" s="426">
        <v>9</v>
      </c>
      <c r="D425" s="426"/>
      <c r="E425" s="593" t="s">
        <v>173</v>
      </c>
      <c r="F425" s="594"/>
      <c r="G425" s="594"/>
      <c r="H425" s="427"/>
      <c r="I425" s="427"/>
      <c r="J425" s="427"/>
      <c r="K425" s="427"/>
      <c r="L425" s="427"/>
      <c r="M425" s="498"/>
      <c r="N425" s="598">
        <f>SUM(N426)</f>
        <v>7800000</v>
      </c>
      <c r="O425" s="637" t="s">
        <v>288</v>
      </c>
    </row>
    <row r="426" spans="1:15" s="242" customFormat="1" ht="15" customHeight="1">
      <c r="A426" s="497">
        <v>2</v>
      </c>
      <c r="B426" s="426">
        <v>3</v>
      </c>
      <c r="C426" s="426">
        <v>9</v>
      </c>
      <c r="D426" s="426">
        <v>2</v>
      </c>
      <c r="E426" s="758" t="s">
        <v>29</v>
      </c>
      <c r="F426" s="759"/>
      <c r="G426" s="759"/>
      <c r="H426" s="427"/>
      <c r="I426" s="427"/>
      <c r="J426" s="427"/>
      <c r="K426" s="427"/>
      <c r="L426" s="590"/>
      <c r="M426" s="606"/>
      <c r="N426" s="598">
        <f>SUM(N427:N427)</f>
        <v>7800000</v>
      </c>
      <c r="O426" s="637"/>
    </row>
    <row r="427" spans="1:15" s="242" customFormat="1" ht="15" customHeight="1">
      <c r="A427" s="497"/>
      <c r="B427" s="426"/>
      <c r="C427" s="426"/>
      <c r="D427" s="426"/>
      <c r="E427" s="600" t="s">
        <v>14</v>
      </c>
      <c r="F427" s="759" t="s">
        <v>79</v>
      </c>
      <c r="G427" s="759"/>
      <c r="H427" s="610"/>
      <c r="I427" s="427"/>
      <c r="J427" s="427"/>
      <c r="K427" s="427"/>
      <c r="L427" s="427"/>
      <c r="M427" s="498"/>
      <c r="N427" s="605">
        <f>'RAB 2.3.9 OKE'!Q18</f>
        <v>7800000</v>
      </c>
      <c r="O427" s="637"/>
    </row>
    <row r="428" spans="1:15" s="242" customFormat="1" ht="15" customHeight="1">
      <c r="A428" s="497"/>
      <c r="B428" s="426"/>
      <c r="C428" s="426"/>
      <c r="D428" s="426"/>
      <c r="E428" s="600"/>
      <c r="F428" s="590"/>
      <c r="G428" s="590"/>
      <c r="H428" s="610"/>
      <c r="I428" s="427"/>
      <c r="J428" s="427"/>
      <c r="K428" s="427"/>
      <c r="L428" s="427"/>
      <c r="M428" s="498"/>
      <c r="N428" s="605"/>
      <c r="O428" s="637"/>
    </row>
    <row r="429" spans="1:15" s="242" customFormat="1" ht="15" customHeight="1">
      <c r="A429" s="482">
        <v>2</v>
      </c>
      <c r="B429" s="513">
        <v>4</v>
      </c>
      <c r="C429" s="513"/>
      <c r="D429" s="513"/>
      <c r="E429" s="762" t="s">
        <v>451</v>
      </c>
      <c r="F429" s="763"/>
      <c r="G429" s="763"/>
      <c r="H429" s="483"/>
      <c r="I429" s="483"/>
      <c r="J429" s="483"/>
      <c r="K429" s="483"/>
      <c r="L429" s="483"/>
      <c r="M429" s="484"/>
      <c r="N429" s="598">
        <f>SUM(N431)+N435</f>
        <v>74098000</v>
      </c>
      <c r="O429" s="637"/>
    </row>
    <row r="430" spans="1:15" s="242" customFormat="1" ht="15" customHeight="1">
      <c r="A430" s="482"/>
      <c r="B430" s="513"/>
      <c r="C430" s="513"/>
      <c r="D430" s="513"/>
      <c r="E430" s="603"/>
      <c r="F430" s="604"/>
      <c r="G430" s="604"/>
      <c r="H430" s="483"/>
      <c r="I430" s="483"/>
      <c r="J430" s="483"/>
      <c r="K430" s="483"/>
      <c r="L430" s="483"/>
      <c r="M430" s="484"/>
      <c r="N430" s="598"/>
      <c r="O430" s="637"/>
    </row>
    <row r="431" spans="1:15" s="242" customFormat="1" ht="15" customHeight="1">
      <c r="A431" s="497">
        <v>2</v>
      </c>
      <c r="B431" s="426">
        <v>4</v>
      </c>
      <c r="C431" s="426">
        <v>7</v>
      </c>
      <c r="D431" s="426"/>
      <c r="E431" s="593" t="s">
        <v>439</v>
      </c>
      <c r="F431" s="594"/>
      <c r="G431" s="594"/>
      <c r="H431" s="427"/>
      <c r="I431" s="427"/>
      <c r="J431" s="427"/>
      <c r="K431" s="427"/>
      <c r="L431" s="427"/>
      <c r="M431" s="498"/>
      <c r="N431" s="598">
        <f>N432</f>
        <v>6000000</v>
      </c>
      <c r="O431" s="637" t="s">
        <v>286</v>
      </c>
    </row>
    <row r="432" spans="1:15" s="242" customFormat="1" ht="15" customHeight="1">
      <c r="A432" s="497">
        <v>2</v>
      </c>
      <c r="B432" s="426">
        <v>4</v>
      </c>
      <c r="C432" s="426">
        <v>7</v>
      </c>
      <c r="D432" s="426">
        <v>2</v>
      </c>
      <c r="E432" s="758" t="s">
        <v>29</v>
      </c>
      <c r="F432" s="759"/>
      <c r="G432" s="759"/>
      <c r="H432" s="427"/>
      <c r="I432" s="427"/>
      <c r="J432" s="427"/>
      <c r="K432" s="427"/>
      <c r="L432" s="590"/>
      <c r="M432" s="606"/>
      <c r="N432" s="598">
        <f>N433</f>
        <v>6000000</v>
      </c>
      <c r="O432" s="637"/>
    </row>
    <row r="433" spans="1:15" s="242" customFormat="1" ht="15" customHeight="1">
      <c r="A433" s="497"/>
      <c r="B433" s="426"/>
      <c r="C433" s="426"/>
      <c r="D433" s="426"/>
      <c r="E433" s="600" t="s">
        <v>14</v>
      </c>
      <c r="F433" s="759" t="s">
        <v>447</v>
      </c>
      <c r="G433" s="759"/>
      <c r="H433" s="610"/>
      <c r="I433" s="427"/>
      <c r="J433" s="427"/>
      <c r="K433" s="427"/>
      <c r="L433" s="427"/>
      <c r="M433" s="498"/>
      <c r="N433" s="605">
        <f>'RAB 2.4.7 OKE'!Q17</f>
        <v>6000000</v>
      </c>
      <c r="O433" s="637"/>
    </row>
    <row r="434" spans="1:15" s="242" customFormat="1" ht="15" customHeight="1">
      <c r="A434" s="497"/>
      <c r="B434" s="426"/>
      <c r="C434" s="426"/>
      <c r="D434" s="426"/>
      <c r="E434" s="600"/>
      <c r="F434" s="590"/>
      <c r="G434" s="590"/>
      <c r="H434" s="610"/>
      <c r="I434" s="427"/>
      <c r="J434" s="427"/>
      <c r="K434" s="427"/>
      <c r="L434" s="427"/>
      <c r="M434" s="498"/>
      <c r="N434" s="605"/>
      <c r="O434" s="637"/>
    </row>
    <row r="435" spans="1:15" s="242" customFormat="1" ht="15" customHeight="1">
      <c r="A435" s="497">
        <v>2</v>
      </c>
      <c r="B435" s="426">
        <v>4</v>
      </c>
      <c r="C435" s="426">
        <v>13</v>
      </c>
      <c r="D435" s="426"/>
      <c r="E435" s="593" t="s">
        <v>540</v>
      </c>
      <c r="F435" s="594"/>
      <c r="G435" s="594"/>
      <c r="H435" s="427"/>
      <c r="I435" s="427"/>
      <c r="J435" s="427"/>
      <c r="K435" s="427"/>
      <c r="L435" s="427"/>
      <c r="M435" s="498"/>
      <c r="N435" s="598">
        <f>N436+N459</f>
        <v>68098000</v>
      </c>
      <c r="O435" s="637"/>
    </row>
    <row r="436" spans="1:15" s="242" customFormat="1" ht="15" customHeight="1">
      <c r="A436" s="497">
        <v>2</v>
      </c>
      <c r="B436" s="426">
        <v>4</v>
      </c>
      <c r="C436" s="426">
        <v>13</v>
      </c>
      <c r="D436" s="426">
        <v>2</v>
      </c>
      <c r="E436" s="758" t="s">
        <v>29</v>
      </c>
      <c r="F436" s="759"/>
      <c r="G436" s="759"/>
      <c r="H436" s="427"/>
      <c r="I436" s="427"/>
      <c r="J436" s="427"/>
      <c r="K436" s="427"/>
      <c r="L436" s="590"/>
      <c r="M436" s="606"/>
      <c r="N436" s="605">
        <f>N437+N441+N442+N443+N444</f>
        <v>18643000</v>
      </c>
      <c r="O436" s="637"/>
    </row>
    <row r="437" spans="1:15" s="242" customFormat="1" ht="15" customHeight="1">
      <c r="A437" s="497"/>
      <c r="B437" s="426"/>
      <c r="C437" s="426"/>
      <c r="D437" s="426"/>
      <c r="E437" s="600"/>
      <c r="F437" s="609" t="s">
        <v>14</v>
      </c>
      <c r="G437" s="590" t="s">
        <v>541</v>
      </c>
      <c r="H437" s="610"/>
      <c r="I437" s="427"/>
      <c r="J437" s="427"/>
      <c r="K437" s="427"/>
      <c r="L437" s="427"/>
      <c r="M437" s="498"/>
      <c r="N437" s="605">
        <f>SUM(N438:N440)</f>
        <v>17845000</v>
      </c>
      <c r="O437" s="637"/>
    </row>
    <row r="438" spans="1:15" s="242" customFormat="1" ht="15" customHeight="1">
      <c r="A438" s="497"/>
      <c r="B438" s="426"/>
      <c r="C438" s="426"/>
      <c r="D438" s="426"/>
      <c r="E438" s="600"/>
      <c r="F438" s="590"/>
      <c r="G438" s="590" t="s">
        <v>203</v>
      </c>
      <c r="H438" s="610"/>
      <c r="I438" s="427"/>
      <c r="J438" s="427"/>
      <c r="K438" s="427"/>
      <c r="L438" s="427"/>
      <c r="M438" s="498"/>
      <c r="N438" s="605">
        <f>'RAB 2.4.13 OKE'!Q18</f>
        <v>11407500</v>
      </c>
      <c r="O438" s="637"/>
    </row>
    <row r="439" spans="1:15" s="242" customFormat="1" ht="15" customHeight="1">
      <c r="A439" s="497"/>
      <c r="B439" s="426"/>
      <c r="C439" s="426"/>
      <c r="D439" s="426"/>
      <c r="E439" s="600"/>
      <c r="F439" s="590"/>
      <c r="G439" s="590" t="s">
        <v>58</v>
      </c>
      <c r="H439" s="610"/>
      <c r="I439" s="427"/>
      <c r="J439" s="427"/>
      <c r="K439" s="427"/>
      <c r="L439" s="427"/>
      <c r="M439" s="498"/>
      <c r="N439" s="605">
        <f>'RAB 2.4.13 OKE'!Q19</f>
        <v>5737500</v>
      </c>
      <c r="O439" s="637"/>
    </row>
    <row r="440" spans="1:15" s="242" customFormat="1" ht="15" customHeight="1">
      <c r="A440" s="497"/>
      <c r="B440" s="426"/>
      <c r="C440" s="426"/>
      <c r="D440" s="426"/>
      <c r="E440" s="600"/>
      <c r="F440" s="590"/>
      <c r="G440" s="590" t="s">
        <v>522</v>
      </c>
      <c r="H440" s="610"/>
      <c r="I440" s="427"/>
      <c r="J440" s="427"/>
      <c r="K440" s="427"/>
      <c r="L440" s="427"/>
      <c r="M440" s="498"/>
      <c r="N440" s="605">
        <f>'RAB 2.4.13 OKE'!Q20</f>
        <v>700000</v>
      </c>
      <c r="O440" s="637"/>
    </row>
    <row r="441" spans="1:15" s="242" customFormat="1" ht="15" customHeight="1">
      <c r="A441" s="497"/>
      <c r="B441" s="426"/>
      <c r="C441" s="426"/>
      <c r="D441" s="426"/>
      <c r="E441" s="600"/>
      <c r="F441" s="609" t="s">
        <v>14</v>
      </c>
      <c r="G441" s="590" t="s">
        <v>77</v>
      </c>
      <c r="H441" s="610"/>
      <c r="I441" s="427"/>
      <c r="J441" s="427"/>
      <c r="K441" s="427"/>
      <c r="L441" s="427"/>
      <c r="M441" s="498"/>
      <c r="N441" s="605">
        <f>'RAB 2.4.13 OKE'!Q22</f>
        <v>328000</v>
      </c>
      <c r="O441" s="637"/>
    </row>
    <row r="442" spans="1:15" s="242" customFormat="1" ht="15" customHeight="1">
      <c r="A442" s="497"/>
      <c r="B442" s="426"/>
      <c r="C442" s="426"/>
      <c r="D442" s="426"/>
      <c r="E442" s="600"/>
      <c r="F442" s="609" t="s">
        <v>14</v>
      </c>
      <c r="G442" s="590" t="s">
        <v>195</v>
      </c>
      <c r="H442" s="610"/>
      <c r="I442" s="427"/>
      <c r="J442" s="427"/>
      <c r="K442" s="427"/>
      <c r="L442" s="427"/>
      <c r="M442" s="498"/>
      <c r="N442" s="605">
        <f>'RAB 2.4.13 OKE'!Q32</f>
        <v>115000</v>
      </c>
      <c r="O442" s="637"/>
    </row>
    <row r="443" spans="1:15" s="242" customFormat="1" ht="15" customHeight="1">
      <c r="A443" s="497"/>
      <c r="B443" s="426"/>
      <c r="C443" s="426"/>
      <c r="D443" s="426"/>
      <c r="E443" s="600"/>
      <c r="F443" s="609" t="s">
        <v>14</v>
      </c>
      <c r="G443" s="590" t="s">
        <v>542</v>
      </c>
      <c r="H443" s="610"/>
      <c r="I443" s="427"/>
      <c r="J443" s="427"/>
      <c r="K443" s="427"/>
      <c r="L443" s="427"/>
      <c r="M443" s="498"/>
      <c r="N443" s="605">
        <f>'RAB 2.4.13 OKE'!Q36</f>
        <v>45000</v>
      </c>
      <c r="O443" s="637"/>
    </row>
    <row r="444" spans="1:15" s="242" customFormat="1" ht="15" customHeight="1">
      <c r="A444" s="497"/>
      <c r="B444" s="426"/>
      <c r="C444" s="426"/>
      <c r="D444" s="426"/>
      <c r="E444" s="600"/>
      <c r="F444" s="609" t="s">
        <v>14</v>
      </c>
      <c r="G444" s="590" t="s">
        <v>519</v>
      </c>
      <c r="H444" s="610"/>
      <c r="I444" s="427"/>
      <c r="J444" s="427"/>
      <c r="K444" s="427"/>
      <c r="L444" s="427"/>
      <c r="M444" s="498"/>
      <c r="N444" s="605">
        <f>SUM(N445:N447)</f>
        <v>310000</v>
      </c>
      <c r="O444" s="637"/>
    </row>
    <row r="445" spans="1:15" s="242" customFormat="1" ht="15" customHeight="1">
      <c r="A445" s="497"/>
      <c r="B445" s="426"/>
      <c r="C445" s="426"/>
      <c r="D445" s="426"/>
      <c r="E445" s="600"/>
      <c r="F445" s="609"/>
      <c r="G445" s="590" t="str">
        <f>'RAB 2.4.13 OKE'!G41</f>
        <v>Biaya Transport Monitoring</v>
      </c>
      <c r="H445" s="610"/>
      <c r="I445" s="427"/>
      <c r="J445" s="427"/>
      <c r="K445" s="427"/>
      <c r="L445" s="427"/>
      <c r="M445" s="498"/>
      <c r="N445" s="605">
        <f>'RAB 2.4.13 OKE'!Q41</f>
        <v>60000</v>
      </c>
      <c r="O445" s="637"/>
    </row>
    <row r="446" spans="1:15" s="242" customFormat="1" ht="15" customHeight="1">
      <c r="A446" s="497"/>
      <c r="B446" s="426"/>
      <c r="C446" s="426"/>
      <c r="D446" s="426"/>
      <c r="E446" s="600"/>
      <c r="F446" s="590"/>
      <c r="G446" s="590" t="str">
        <f>'RAB 2.4.13 OKE'!G42</f>
        <v>Biaya Transport Penyuluh</v>
      </c>
      <c r="H446" s="610"/>
      <c r="I446" s="427"/>
      <c r="J446" s="427"/>
      <c r="K446" s="427"/>
      <c r="L446" s="427"/>
      <c r="M446" s="498"/>
      <c r="N446" s="605">
        <f>'RAB 2.4.13 OKE'!Q42</f>
        <v>150000</v>
      </c>
      <c r="O446" s="637"/>
    </row>
    <row r="447" spans="1:15" s="242" customFormat="1" ht="15" customHeight="1">
      <c r="A447" s="497"/>
      <c r="B447" s="426"/>
      <c r="C447" s="426"/>
      <c r="D447" s="426"/>
      <c r="E447" s="600"/>
      <c r="F447" s="590"/>
      <c r="G447" s="590" t="str">
        <f>'RAB 2.4.13 OKE'!G43</f>
        <v>Biaya Transport Pembelian Barang/Material</v>
      </c>
      <c r="H447" s="610"/>
      <c r="I447" s="427"/>
      <c r="J447" s="427"/>
      <c r="K447" s="427"/>
      <c r="L447" s="427"/>
      <c r="M447" s="498"/>
      <c r="N447" s="605">
        <f>'RAB 2.4.13 OKE'!Q43</f>
        <v>100000</v>
      </c>
      <c r="O447" s="637"/>
    </row>
    <row r="448" spans="1:15" s="242" customFormat="1" ht="15" customHeight="1">
      <c r="A448" s="451"/>
      <c r="B448" s="451"/>
      <c r="C448" s="451"/>
      <c r="D448" s="451"/>
      <c r="E448" s="641"/>
      <c r="F448" s="616"/>
      <c r="G448" s="616"/>
      <c r="H448" s="354"/>
      <c r="I448" s="451"/>
      <c r="J448" s="451"/>
      <c r="K448" s="451"/>
      <c r="L448" s="451"/>
      <c r="M448" s="451"/>
      <c r="N448" s="642"/>
      <c r="O448" s="643"/>
    </row>
    <row r="449" spans="1:17" s="242" customFormat="1" ht="15" customHeight="1">
      <c r="A449" s="286"/>
      <c r="B449" s="286"/>
      <c r="C449" s="286"/>
      <c r="D449" s="286"/>
      <c r="E449" s="644"/>
      <c r="F449" s="655"/>
      <c r="G449" s="655"/>
      <c r="H449" s="284"/>
      <c r="I449" s="286"/>
      <c r="J449" s="286"/>
      <c r="K449" s="286"/>
      <c r="L449" s="286"/>
      <c r="M449" s="286"/>
      <c r="N449" s="645"/>
      <c r="O449" s="646"/>
    </row>
    <row r="450" spans="1:17" s="242" customFormat="1" ht="15" customHeight="1">
      <c r="A450" s="286"/>
      <c r="B450" s="286"/>
      <c r="C450" s="286"/>
      <c r="D450" s="286"/>
      <c r="E450" s="644"/>
      <c r="F450" s="655"/>
      <c r="G450" s="655"/>
      <c r="H450" s="284"/>
      <c r="I450" s="286"/>
      <c r="J450" s="286"/>
      <c r="K450" s="286"/>
      <c r="L450" s="286"/>
      <c r="M450" s="286"/>
      <c r="N450" s="645"/>
      <c r="O450" s="646"/>
    </row>
    <row r="451" spans="1:17" s="242" customFormat="1" ht="15" customHeight="1">
      <c r="A451" s="286"/>
      <c r="B451" s="286"/>
      <c r="C451" s="286"/>
      <c r="D451" s="286"/>
      <c r="E451" s="644"/>
      <c r="F451" s="655"/>
      <c r="G451" s="655"/>
      <c r="H451" s="284"/>
      <c r="I451" s="286"/>
      <c r="J451" s="286"/>
      <c r="K451" s="286"/>
      <c r="L451" s="286"/>
      <c r="M451" s="286"/>
      <c r="N451" s="645"/>
      <c r="O451" s="646"/>
    </row>
    <row r="452" spans="1:17" s="242" customFormat="1" ht="15" customHeight="1">
      <c r="A452" s="286"/>
      <c r="B452" s="286"/>
      <c r="C452" s="286"/>
      <c r="D452" s="286"/>
      <c r="E452" s="644"/>
      <c r="F452" s="655"/>
      <c r="G452" s="655"/>
      <c r="H452" s="284"/>
      <c r="I452" s="286"/>
      <c r="J452" s="286"/>
      <c r="K452" s="286"/>
      <c r="L452" s="286"/>
      <c r="M452" s="286"/>
      <c r="N452" s="645"/>
      <c r="O452" s="646"/>
    </row>
    <row r="453" spans="1:17" s="242" customFormat="1" ht="15" customHeight="1">
      <c r="A453" s="286"/>
      <c r="B453" s="286"/>
      <c r="C453" s="286"/>
      <c r="D453" s="286"/>
      <c r="E453" s="644"/>
      <c r="F453" s="655"/>
      <c r="G453" s="655"/>
      <c r="H453" s="284"/>
      <c r="I453" s="286"/>
      <c r="J453" s="286"/>
      <c r="K453" s="286"/>
      <c r="L453" s="286"/>
      <c r="M453" s="286"/>
      <c r="N453" s="645"/>
      <c r="O453" s="646"/>
    </row>
    <row r="454" spans="1:17" s="242" customFormat="1" ht="15" customHeight="1">
      <c r="A454" s="286"/>
      <c r="B454" s="286"/>
      <c r="C454" s="286"/>
      <c r="D454" s="286"/>
      <c r="E454" s="644"/>
      <c r="F454" s="655"/>
      <c r="G454" s="655"/>
      <c r="H454" s="284"/>
      <c r="I454" s="286"/>
      <c r="J454" s="286"/>
      <c r="K454" s="286"/>
      <c r="L454" s="286"/>
      <c r="M454" s="286"/>
      <c r="N454" s="645"/>
      <c r="O454" s="646"/>
    </row>
    <row r="455" spans="1:17" s="242" customFormat="1" ht="15" customHeight="1">
      <c r="A455" s="286"/>
      <c r="B455" s="286"/>
      <c r="C455" s="286"/>
      <c r="D455" s="286"/>
      <c r="E455" s="644"/>
      <c r="F455" s="655"/>
      <c r="G455" s="655"/>
      <c r="H455" s="284"/>
      <c r="I455" s="286"/>
      <c r="J455" s="286"/>
      <c r="K455" s="286"/>
      <c r="L455" s="286"/>
      <c r="M455" s="286"/>
      <c r="N455" s="645"/>
      <c r="O455" s="646"/>
    </row>
    <row r="456" spans="1:17" s="242" customFormat="1" ht="15" customHeight="1">
      <c r="A456" s="286"/>
      <c r="B456" s="286"/>
      <c r="C456" s="286"/>
      <c r="D456" s="286"/>
      <c r="E456" s="644"/>
      <c r="F456" s="655"/>
      <c r="G456" s="655"/>
      <c r="H456" s="284"/>
      <c r="I456" s="286"/>
      <c r="J456" s="286"/>
      <c r="K456" s="286"/>
      <c r="L456" s="286"/>
      <c r="M456" s="286"/>
      <c r="N456" s="645"/>
      <c r="O456" s="646"/>
    </row>
    <row r="457" spans="1:17" s="242" customFormat="1" ht="15" customHeight="1">
      <c r="A457" s="286"/>
      <c r="B457" s="286"/>
      <c r="C457" s="286"/>
      <c r="D457" s="286"/>
      <c r="E457" s="644"/>
      <c r="F457" s="655"/>
      <c r="G457" s="655"/>
      <c r="H457" s="284"/>
      <c r="I457" s="286"/>
      <c r="J457" s="286"/>
      <c r="K457" s="286"/>
      <c r="L457" s="286"/>
      <c r="M457" s="286"/>
      <c r="N457" s="645"/>
      <c r="O457" s="646"/>
    </row>
    <row r="458" spans="1:17" s="242" customFormat="1" ht="15" customHeight="1">
      <c r="A458" s="670"/>
      <c r="B458" s="670"/>
      <c r="C458" s="670"/>
      <c r="D458" s="670"/>
      <c r="E458" s="647"/>
      <c r="F458" s="617"/>
      <c r="G458" s="617"/>
      <c r="H458" s="288"/>
      <c r="I458" s="670"/>
      <c r="J458" s="670"/>
      <c r="K458" s="670"/>
      <c r="L458" s="670"/>
      <c r="M458" s="670"/>
      <c r="N458" s="648"/>
      <c r="O458" s="649"/>
    </row>
    <row r="459" spans="1:17" s="242" customFormat="1" ht="15" customHeight="1">
      <c r="A459" s="497">
        <v>2</v>
      </c>
      <c r="B459" s="426">
        <v>4</v>
      </c>
      <c r="C459" s="426">
        <v>13</v>
      </c>
      <c r="D459" s="426">
        <v>3</v>
      </c>
      <c r="E459" s="758" t="s">
        <v>60</v>
      </c>
      <c r="F459" s="759"/>
      <c r="G459" s="759"/>
      <c r="H459" s="610"/>
      <c r="I459" s="427"/>
      <c r="J459" s="427"/>
      <c r="K459" s="427"/>
      <c r="L459" s="427"/>
      <c r="M459" s="498"/>
      <c r="N459" s="605">
        <f>SUM(N460:N464)</f>
        <v>49455000</v>
      </c>
      <c r="O459" s="637"/>
    </row>
    <row r="460" spans="1:17" s="383" customFormat="1" ht="15" customHeight="1">
      <c r="A460" s="279"/>
      <c r="B460" s="488"/>
      <c r="C460" s="488"/>
      <c r="D460" s="488"/>
      <c r="E460" s="623"/>
      <c r="F460" s="624" t="s">
        <v>14</v>
      </c>
      <c r="G460" s="618" t="str">
        <f>'RAB 2.4.13 OKE'!G46</f>
        <v>Pipa Aw 1.5 Inci</v>
      </c>
      <c r="H460" s="386"/>
      <c r="I460" s="386"/>
      <c r="J460" s="386"/>
      <c r="K460" s="386"/>
      <c r="L460" s="386"/>
      <c r="M460" s="625"/>
      <c r="N460" s="626">
        <f>'RAB 2.4.13 OKE'!Q46</f>
        <v>47850000</v>
      </c>
      <c r="O460" s="640"/>
    </row>
    <row r="461" spans="1:17" s="383" customFormat="1" ht="15" customHeight="1">
      <c r="A461" s="279"/>
      <c r="B461" s="488"/>
      <c r="C461" s="488"/>
      <c r="D461" s="488"/>
      <c r="E461" s="623"/>
      <c r="F461" s="624" t="s">
        <v>14</v>
      </c>
      <c r="G461" s="618" t="str">
        <f>'RAB 2.4.13 OKE'!G47</f>
        <v>Lem Pipa</v>
      </c>
      <c r="H461" s="386"/>
      <c r="I461" s="386"/>
      <c r="J461" s="386"/>
      <c r="K461" s="386"/>
      <c r="L461" s="386"/>
      <c r="M461" s="625"/>
      <c r="N461" s="626">
        <f>'RAB 2.4.13 OKE'!Q47</f>
        <v>175000</v>
      </c>
      <c r="O461" s="640"/>
    </row>
    <row r="462" spans="1:17" s="383" customFormat="1" ht="15" customHeight="1">
      <c r="A462" s="279"/>
      <c r="B462" s="488"/>
      <c r="C462" s="488"/>
      <c r="D462" s="488"/>
      <c r="E462" s="279"/>
      <c r="F462" s="627" t="s">
        <v>14</v>
      </c>
      <c r="G462" s="628" t="str">
        <f>'RAB 2.4.13 OKE'!G48</f>
        <v>Accessoris</v>
      </c>
      <c r="H462" s="628"/>
      <c r="I462" s="628"/>
      <c r="J462" s="628"/>
      <c r="K462" s="386"/>
      <c r="L462" s="386"/>
      <c r="M462" s="625"/>
      <c r="N462" s="626">
        <f>'RAB 2.4.13 OKE'!Q48</f>
        <v>200000</v>
      </c>
      <c r="O462" s="640"/>
      <c r="Q462" s="629">
        <v>794750</v>
      </c>
    </row>
    <row r="463" spans="1:17" s="383" customFormat="1" ht="15" customHeight="1">
      <c r="A463" s="279"/>
      <c r="B463" s="488"/>
      <c r="C463" s="488"/>
      <c r="D463" s="488"/>
      <c r="E463" s="279"/>
      <c r="F463" s="627" t="s">
        <v>14</v>
      </c>
      <c r="G463" s="628" t="str">
        <f>'RAB 2.4.13 OKE'!G49</f>
        <v>Pasir</v>
      </c>
      <c r="H463" s="628"/>
      <c r="I463" s="628"/>
      <c r="J463" s="628"/>
      <c r="K463" s="386"/>
      <c r="L463" s="386"/>
      <c r="M463" s="625"/>
      <c r="N463" s="626">
        <f>'RAB 2.4.13 OKE'!Q49</f>
        <v>780000</v>
      </c>
      <c r="O463" s="640"/>
      <c r="Q463" s="630">
        <f>Q462-N468</f>
        <v>360872</v>
      </c>
    </row>
    <row r="464" spans="1:17" s="383" customFormat="1" ht="15" customHeight="1">
      <c r="A464" s="279"/>
      <c r="B464" s="488"/>
      <c r="C464" s="488"/>
      <c r="D464" s="488"/>
      <c r="E464" s="279"/>
      <c r="F464" s="627" t="s">
        <v>14</v>
      </c>
      <c r="G464" s="628" t="str">
        <f>'RAB 2.4.13 OKE'!G50</f>
        <v>Cangkul</v>
      </c>
      <c r="H464" s="628"/>
      <c r="I464" s="628"/>
      <c r="J464" s="628"/>
      <c r="K464" s="386"/>
      <c r="L464" s="386"/>
      <c r="M464" s="625"/>
      <c r="N464" s="626">
        <f>'RAB 2.4.13 OKE'!Q50</f>
        <v>450000</v>
      </c>
      <c r="O464" s="640"/>
    </row>
    <row r="465" spans="1:18" s="242" customFormat="1" ht="15" customHeight="1">
      <c r="A465" s="497"/>
      <c r="B465" s="426"/>
      <c r="C465" s="426"/>
      <c r="D465" s="426"/>
      <c r="E465" s="497"/>
      <c r="F465" s="622"/>
      <c r="G465" s="610"/>
      <c r="H465" s="610"/>
      <c r="I465" s="610"/>
      <c r="J465" s="610"/>
      <c r="K465" s="427"/>
      <c r="L465" s="427"/>
      <c r="M465" s="498"/>
      <c r="N465" s="605"/>
      <c r="O465" s="637"/>
    </row>
    <row r="466" spans="1:18" s="242" customFormat="1" ht="15" customHeight="1">
      <c r="A466" s="497"/>
      <c r="B466" s="426"/>
      <c r="C466" s="426"/>
      <c r="D466" s="426"/>
      <c r="E466" s="760" t="s">
        <v>157</v>
      </c>
      <c r="F466" s="761"/>
      <c r="G466" s="761"/>
      <c r="H466" s="761"/>
      <c r="I466" s="761"/>
      <c r="J466" s="761"/>
      <c r="K466" s="761"/>
      <c r="L466" s="761"/>
      <c r="M466" s="764"/>
      <c r="N466" s="631">
        <f>SUM(N42+N155+N394+N429)</f>
        <v>1043080073.4</v>
      </c>
      <c r="O466" s="637"/>
    </row>
    <row r="467" spans="1:18" s="242" customFormat="1" ht="15" customHeight="1">
      <c r="A467" s="497"/>
      <c r="B467" s="426"/>
      <c r="C467" s="426"/>
      <c r="D467" s="426"/>
      <c r="E467" s="497"/>
      <c r="F467" s="761" t="s">
        <v>158</v>
      </c>
      <c r="G467" s="761"/>
      <c r="H467" s="761"/>
      <c r="I467" s="761"/>
      <c r="J467" s="761"/>
      <c r="K467" s="761"/>
      <c r="L467" s="761"/>
      <c r="M467" s="764"/>
      <c r="N467" s="632">
        <f>N39-N466</f>
        <v>-433878.39999997616</v>
      </c>
      <c r="O467" s="637"/>
      <c r="Q467" s="271">
        <v>23232214</v>
      </c>
      <c r="R467" s="282">
        <f>N467-Q467</f>
        <v>-23666092.399999976</v>
      </c>
    </row>
    <row r="468" spans="1:18" s="242" customFormat="1" ht="15" customHeight="1">
      <c r="A468" s="497">
        <v>3</v>
      </c>
      <c r="B468" s="426"/>
      <c r="C468" s="426"/>
      <c r="D468" s="426"/>
      <c r="E468" s="762" t="s">
        <v>160</v>
      </c>
      <c r="F468" s="763"/>
      <c r="G468" s="763"/>
      <c r="H468" s="610"/>
      <c r="I468" s="427"/>
      <c r="J468" s="427"/>
      <c r="K468" s="427"/>
      <c r="L468" s="427"/>
      <c r="M468" s="498"/>
      <c r="N468" s="633">
        <f>N473+N477</f>
        <v>433878</v>
      </c>
      <c r="O468" s="637"/>
    </row>
    <row r="469" spans="1:18" s="242" customFormat="1" ht="15" customHeight="1">
      <c r="A469" s="497">
        <v>3</v>
      </c>
      <c r="B469" s="426">
        <v>1</v>
      </c>
      <c r="C469" s="426"/>
      <c r="D469" s="426"/>
      <c r="E469" s="758" t="s">
        <v>159</v>
      </c>
      <c r="F469" s="759"/>
      <c r="G469" s="759"/>
      <c r="H469" s="610"/>
      <c r="I469" s="427"/>
      <c r="J469" s="427"/>
      <c r="K469" s="427"/>
      <c r="L469" s="427"/>
      <c r="M469" s="498"/>
      <c r="N469" s="633">
        <f>SUM(N470:N472)</f>
        <v>433878</v>
      </c>
      <c r="O469" s="637"/>
      <c r="R469" s="271">
        <f>1740750-433878</f>
        <v>1306872</v>
      </c>
    </row>
    <row r="470" spans="1:18" s="242" customFormat="1" ht="15" customHeight="1">
      <c r="A470" s="497">
        <v>3</v>
      </c>
      <c r="B470" s="426">
        <v>1</v>
      </c>
      <c r="C470" s="426">
        <v>1</v>
      </c>
      <c r="D470" s="426"/>
      <c r="E470" s="758" t="s">
        <v>161</v>
      </c>
      <c r="F470" s="759"/>
      <c r="G470" s="759"/>
      <c r="H470" s="427"/>
      <c r="I470" s="427"/>
      <c r="J470" s="427"/>
      <c r="K470" s="427"/>
      <c r="L470" s="427"/>
      <c r="M470" s="498"/>
      <c r="N470" s="633">
        <v>433878</v>
      </c>
      <c r="O470" s="637"/>
    </row>
    <row r="471" spans="1:18" s="242" customFormat="1" ht="15" customHeight="1">
      <c r="A471" s="497">
        <v>3</v>
      </c>
      <c r="B471" s="426">
        <v>1</v>
      </c>
      <c r="C471" s="426">
        <v>2</v>
      </c>
      <c r="D471" s="426"/>
      <c r="E471" s="758" t="s">
        <v>175</v>
      </c>
      <c r="F471" s="759"/>
      <c r="G471" s="759"/>
      <c r="H471" s="427"/>
      <c r="I471" s="427"/>
      <c r="J471" s="427"/>
      <c r="K471" s="427"/>
      <c r="L471" s="427"/>
      <c r="M471" s="498"/>
      <c r="N471" s="633" t="s">
        <v>14</v>
      </c>
      <c r="O471" s="637"/>
      <c r="Q471" s="271">
        <v>120668700</v>
      </c>
    </row>
    <row r="472" spans="1:18" s="242" customFormat="1" ht="15" customHeight="1">
      <c r="A472" s="497">
        <v>3</v>
      </c>
      <c r="B472" s="426">
        <v>1</v>
      </c>
      <c r="C472" s="426">
        <v>3</v>
      </c>
      <c r="D472" s="426"/>
      <c r="E472" s="758" t="s">
        <v>162</v>
      </c>
      <c r="F472" s="759"/>
      <c r="G472" s="759"/>
      <c r="H472" s="427"/>
      <c r="I472" s="427"/>
      <c r="J472" s="427"/>
      <c r="K472" s="427"/>
      <c r="L472" s="427"/>
      <c r="M472" s="498"/>
      <c r="N472" s="633" t="s">
        <v>14</v>
      </c>
      <c r="O472" s="637"/>
      <c r="Q472" s="271">
        <v>200481300</v>
      </c>
    </row>
    <row r="473" spans="1:18" s="242" customFormat="1" ht="15" customHeight="1">
      <c r="A473" s="497"/>
      <c r="B473" s="426"/>
      <c r="C473" s="426"/>
      <c r="D473" s="426"/>
      <c r="E473" s="760" t="s">
        <v>163</v>
      </c>
      <c r="F473" s="761"/>
      <c r="G473" s="761"/>
      <c r="H473" s="483"/>
      <c r="I473" s="590"/>
      <c r="J473" s="427"/>
      <c r="K473" s="427"/>
      <c r="L473" s="427"/>
      <c r="M473" s="498"/>
      <c r="N473" s="605">
        <f>SUM(N469)</f>
        <v>433878</v>
      </c>
      <c r="O473" s="637"/>
      <c r="Q473" s="271">
        <f>SUM(Q471:Q472)</f>
        <v>321150000</v>
      </c>
    </row>
    <row r="474" spans="1:18" s="242" customFormat="1" ht="15" customHeight="1">
      <c r="A474" s="497">
        <v>3</v>
      </c>
      <c r="B474" s="426">
        <v>2</v>
      </c>
      <c r="C474" s="426"/>
      <c r="D474" s="426"/>
      <c r="E474" s="758" t="s">
        <v>164</v>
      </c>
      <c r="F474" s="759"/>
      <c r="G474" s="759"/>
      <c r="H474" s="427"/>
      <c r="I474" s="427"/>
      <c r="J474" s="427"/>
      <c r="K474" s="427"/>
      <c r="L474" s="427"/>
      <c r="M474" s="498"/>
      <c r="N474" s="605">
        <f>SUM(N475:N476)</f>
        <v>0</v>
      </c>
      <c r="O474" s="637"/>
      <c r="Q474" s="271"/>
    </row>
    <row r="475" spans="1:18" s="242" customFormat="1" ht="15" customHeight="1">
      <c r="A475" s="497">
        <v>3</v>
      </c>
      <c r="B475" s="426">
        <v>2</v>
      </c>
      <c r="C475" s="426">
        <v>1</v>
      </c>
      <c r="D475" s="426"/>
      <c r="E475" s="758" t="s">
        <v>165</v>
      </c>
      <c r="F475" s="759"/>
      <c r="G475" s="759"/>
      <c r="H475" s="427"/>
      <c r="I475" s="427"/>
      <c r="J475" s="427"/>
      <c r="K475" s="427"/>
      <c r="L475" s="427"/>
      <c r="M475" s="498"/>
      <c r="N475" s="633" t="s">
        <v>14</v>
      </c>
      <c r="O475" s="637"/>
      <c r="Q475" s="311">
        <f>N468+N467</f>
        <v>-0.39999997615814209</v>
      </c>
    </row>
    <row r="476" spans="1:18" s="242" customFormat="1" ht="15" customHeight="1">
      <c r="A476" s="497">
        <v>3</v>
      </c>
      <c r="B476" s="426">
        <v>2</v>
      </c>
      <c r="C476" s="426">
        <v>2</v>
      </c>
      <c r="D476" s="426"/>
      <c r="E476" s="758" t="s">
        <v>166</v>
      </c>
      <c r="F476" s="759"/>
      <c r="G476" s="759"/>
      <c r="H476" s="610"/>
      <c r="I476" s="610"/>
      <c r="J476" s="610"/>
      <c r="K476" s="427"/>
      <c r="L476" s="427"/>
      <c r="M476" s="498"/>
      <c r="N476" s="633" t="s">
        <v>14</v>
      </c>
      <c r="O476" s="637"/>
      <c r="Q476" s="311">
        <f>N468-434304</f>
        <v>-426</v>
      </c>
    </row>
    <row r="477" spans="1:18" s="242" customFormat="1" ht="15" customHeight="1">
      <c r="A477" s="497"/>
      <c r="B477" s="426"/>
      <c r="C477" s="426"/>
      <c r="D477" s="426"/>
      <c r="E477" s="760" t="s">
        <v>163</v>
      </c>
      <c r="F477" s="761"/>
      <c r="G477" s="761"/>
      <c r="H477" s="610"/>
      <c r="I477" s="610"/>
      <c r="J477" s="610"/>
      <c r="K477" s="427"/>
      <c r="L477" s="427"/>
      <c r="M477" s="498"/>
      <c r="N477" s="605">
        <f>SUM(N475:N476)</f>
        <v>0</v>
      </c>
      <c r="O477" s="637"/>
    </row>
    <row r="478" spans="1:18" s="242" customFormat="1" ht="15" customHeight="1"/>
    <row r="479" spans="1:18" s="242" customFormat="1" ht="15" customHeight="1"/>
    <row r="480" spans="1:18" s="242" customFormat="1" ht="15" customHeight="1"/>
    <row r="481" spans="2:15" s="242" customFormat="1" ht="15" customHeight="1">
      <c r="J481" s="754" t="s">
        <v>181</v>
      </c>
      <c r="K481" s="754"/>
      <c r="L481" s="754"/>
      <c r="M481" s="754"/>
      <c r="N481" s="754"/>
      <c r="O481" s="754"/>
    </row>
    <row r="482" spans="2:15" s="242" customFormat="1" ht="15" customHeight="1">
      <c r="J482" s="754" t="s">
        <v>442</v>
      </c>
      <c r="K482" s="754"/>
      <c r="L482" s="754"/>
      <c r="M482" s="754"/>
      <c r="N482" s="754"/>
      <c r="O482" s="754"/>
    </row>
    <row r="483" spans="2:15" s="242" customFormat="1" ht="15" customHeight="1"/>
    <row r="484" spans="2:15" s="242" customFormat="1" ht="15" customHeight="1"/>
    <row r="485" spans="2:15" s="242" customFormat="1" ht="15" customHeight="1"/>
    <row r="486" spans="2:15" s="242" customFormat="1" ht="15" customHeight="1"/>
    <row r="487" spans="2:15" s="242" customFormat="1" ht="15" customHeight="1"/>
    <row r="488" spans="2:15" s="242" customFormat="1" ht="15" customHeight="1">
      <c r="J488" s="754" t="s">
        <v>324</v>
      </c>
      <c r="K488" s="754"/>
      <c r="L488" s="754"/>
      <c r="M488" s="754"/>
      <c r="N488" s="754"/>
      <c r="O488" s="754"/>
    </row>
    <row r="489" spans="2:15" s="242" customFormat="1" ht="15" customHeight="1"/>
    <row r="490" spans="2:15" s="242" customFormat="1" ht="15" customHeight="1"/>
    <row r="491" spans="2:15" s="242" customFormat="1" ht="15" customHeight="1"/>
    <row r="492" spans="2:15" s="242" customFormat="1" ht="15" customHeight="1">
      <c r="B492" s="510"/>
      <c r="G492" s="311"/>
    </row>
    <row r="493" spans="2:15" s="242" customFormat="1" ht="15" customHeight="1">
      <c r="B493" s="510"/>
      <c r="G493" s="311"/>
    </row>
    <row r="494" spans="2:15" s="242" customFormat="1" ht="15" customHeight="1"/>
    <row r="495" spans="2:15" s="242" customFormat="1" ht="15" customHeight="1"/>
    <row r="496" spans="2:15" s="242" customFormat="1" ht="15" customHeight="1"/>
    <row r="497" s="242" customFormat="1" ht="15" customHeight="1"/>
    <row r="498" s="242" customFormat="1" ht="15" customHeight="1"/>
    <row r="499" s="242" customFormat="1" ht="15" customHeight="1"/>
    <row r="500" s="242" customFormat="1" ht="15" customHeight="1"/>
    <row r="501" s="242" customFormat="1" ht="16.5"/>
    <row r="502" s="242" customFormat="1" ht="16.5"/>
    <row r="503" s="242" customFormat="1" ht="16.5"/>
    <row r="504" s="242" customFormat="1" ht="16.5"/>
    <row r="505" s="242" customFormat="1" ht="16.5"/>
    <row r="506" s="242" customFormat="1" ht="16.5"/>
    <row r="507" s="242" customFormat="1" ht="16.5"/>
    <row r="508" s="242" customFormat="1" ht="16.5"/>
    <row r="509" s="242" customFormat="1" ht="16.5"/>
    <row r="510" s="242" customFormat="1" ht="16.5"/>
    <row r="511" s="242" customFormat="1" ht="16.5"/>
    <row r="512" s="242" customFormat="1" ht="16.5"/>
    <row r="513" s="242" customFormat="1" ht="16.5"/>
    <row r="514" s="242" customFormat="1" ht="16.5"/>
    <row r="515" s="242" customFormat="1" ht="16.5"/>
    <row r="516" s="242" customFormat="1" ht="16.5"/>
    <row r="517" s="242" customFormat="1" ht="16.5"/>
    <row r="518" s="242" customFormat="1" ht="16.5"/>
    <row r="519" s="242" customFormat="1" ht="16.5"/>
    <row r="520" s="242" customFormat="1" ht="16.5"/>
    <row r="521" s="242" customFormat="1" ht="16.5"/>
    <row r="522" s="242" customFormat="1" ht="16.5"/>
    <row r="523" s="242" customFormat="1" ht="16.5"/>
    <row r="524" s="242" customFormat="1" ht="16.5"/>
    <row r="525" s="242" customFormat="1" ht="16.5"/>
    <row r="526" s="242" customFormat="1" ht="16.5"/>
    <row r="527" s="242" customFormat="1" ht="16.5"/>
    <row r="528" s="242" customFormat="1" ht="16.5"/>
    <row r="529" s="242" customFormat="1" ht="16.5"/>
    <row r="530" s="242" customFormat="1" ht="16.5"/>
    <row r="531" s="242" customFormat="1" ht="16.5"/>
    <row r="532" s="242" customFormat="1" ht="16.5"/>
    <row r="533" s="242" customFormat="1" ht="16.5"/>
    <row r="534" s="242" customFormat="1" ht="16.5"/>
    <row r="535" s="242" customFormat="1" ht="16.5"/>
    <row r="536" s="242" customFormat="1" ht="16.5"/>
    <row r="537" s="242" customFormat="1" ht="16.5"/>
    <row r="538" s="242" customFormat="1" ht="16.5"/>
    <row r="539" s="242" customFormat="1" ht="16.5"/>
    <row r="540" s="242" customFormat="1" ht="16.5"/>
    <row r="541" s="242" customFormat="1" ht="16.5"/>
    <row r="542" s="242" customFormat="1" ht="16.5"/>
    <row r="543" s="242" customFormat="1" ht="16.5"/>
    <row r="544" s="242" customFormat="1" ht="16.5"/>
    <row r="545" s="242" customFormat="1" ht="16.5"/>
    <row r="546" s="242" customFormat="1" ht="16.5"/>
    <row r="547" s="242" customFormat="1" ht="16.5"/>
    <row r="548" s="242" customFormat="1" ht="16.5"/>
    <row r="549" s="242" customFormat="1" ht="16.5"/>
    <row r="550" s="242" customFormat="1" ht="16.5"/>
    <row r="551" s="242" customFormat="1" ht="16.5"/>
    <row r="552" s="242" customFormat="1" ht="16.5"/>
    <row r="553" s="242" customFormat="1" ht="16.5"/>
    <row r="554" s="242" customFormat="1" ht="16.5"/>
    <row r="555" s="242" customFormat="1" ht="16.5"/>
    <row r="556" s="242" customFormat="1" ht="16.5"/>
    <row r="557" s="242" customFormat="1" ht="16.5"/>
    <row r="558" s="242" customFormat="1" ht="16.5"/>
    <row r="559" s="242" customFormat="1" ht="16.5"/>
    <row r="560" s="242" customFormat="1" ht="16.5"/>
    <row r="561" s="242" customFormat="1" ht="16.5"/>
    <row r="562" s="242" customFormat="1" ht="16.5"/>
    <row r="563" s="242" customFormat="1" ht="16.5"/>
    <row r="564" s="242" customFormat="1" ht="16.5"/>
    <row r="565" s="242" customFormat="1" ht="16.5"/>
    <row r="566" s="242" customFormat="1" ht="16.5"/>
    <row r="567" s="242" customFormat="1" ht="16.5"/>
    <row r="568" s="242" customFormat="1" ht="16.5"/>
    <row r="569" s="242" customFormat="1" ht="16.5"/>
    <row r="570" s="242" customFormat="1" ht="16.5"/>
    <row r="571" s="242" customFormat="1" ht="16.5"/>
    <row r="572" s="242" customFormat="1" ht="16.5"/>
    <row r="573" s="242" customFormat="1" ht="16.5"/>
    <row r="574" s="242" customFormat="1" ht="16.5"/>
    <row r="575" s="242" customFormat="1" ht="16.5"/>
    <row r="576" s="242" customFormat="1" ht="16.5"/>
    <row r="577" s="242" customFormat="1" ht="16.5"/>
    <row r="578" s="242" customFormat="1" ht="16.5"/>
    <row r="579" s="242" customFormat="1" ht="16.5"/>
    <row r="580" s="242" customFormat="1" ht="16.5"/>
    <row r="581" s="242" customFormat="1" ht="16.5"/>
    <row r="582" s="242" customFormat="1" ht="16.5"/>
    <row r="583" s="242" customFormat="1" ht="16.5"/>
    <row r="584" s="242" customFormat="1" ht="16.5"/>
    <row r="585" s="242" customFormat="1" ht="16.5"/>
    <row r="586" s="242" customFormat="1" ht="16.5"/>
    <row r="587" s="242" customFormat="1" ht="16.5"/>
    <row r="588" s="242" customFormat="1" ht="16.5"/>
    <row r="589" s="242" customFormat="1" ht="16.5"/>
    <row r="590" s="242" customFormat="1" ht="16.5"/>
    <row r="591" s="242" customFormat="1" ht="16.5"/>
    <row r="592" s="242" customFormat="1" ht="16.5"/>
    <row r="593" s="242" customFormat="1" ht="16.5"/>
    <row r="594" s="242" customFormat="1" ht="16.5"/>
    <row r="595" s="242" customFormat="1" ht="16.5"/>
    <row r="596" s="242" customFormat="1" ht="16.5"/>
    <row r="597" s="242" customFormat="1" ht="16.5"/>
    <row r="598" s="242" customFormat="1" ht="16.5"/>
    <row r="599" s="242" customFormat="1" ht="16.5"/>
    <row r="600" s="242" customFormat="1" ht="16.5"/>
    <row r="601" s="242" customFormat="1" ht="16.5"/>
    <row r="602" s="242" customFormat="1" ht="16.5"/>
    <row r="603" s="242" customFormat="1" ht="16.5"/>
    <row r="604" s="242" customFormat="1" ht="16.5"/>
    <row r="605" s="242" customFormat="1" ht="16.5"/>
    <row r="606" s="242" customFormat="1" ht="16.5"/>
    <row r="607" s="242" customFormat="1" ht="16.5"/>
    <row r="608" s="242" customFormat="1" ht="16.5"/>
    <row r="609" s="242" customFormat="1" ht="16.5"/>
    <row r="610" s="242" customFormat="1" ht="16.5"/>
    <row r="611" s="242" customFormat="1" ht="16.5"/>
    <row r="612" s="242" customFormat="1" ht="16.5"/>
    <row r="613" s="242" customFormat="1" ht="16.5"/>
    <row r="614" s="242" customFormat="1" ht="16.5"/>
    <row r="615" s="242" customFormat="1" ht="16.5"/>
    <row r="616" s="242" customFormat="1" ht="16.5"/>
    <row r="617" s="242" customFormat="1" ht="16.5"/>
    <row r="618" s="242" customFormat="1" ht="16.5"/>
    <row r="619" s="242" customFormat="1" ht="16.5"/>
    <row r="620" s="242" customFormat="1" ht="16.5"/>
    <row r="621" s="242" customFormat="1" ht="16.5"/>
    <row r="622" s="242" customFormat="1" ht="16.5"/>
    <row r="623" s="242" customFormat="1" ht="16.5"/>
    <row r="624" s="242" customFormat="1" ht="16.5"/>
    <row r="625" s="242" customFormat="1" ht="16.5"/>
    <row r="626" s="242" customFormat="1" ht="16.5"/>
    <row r="627" s="242" customFormat="1" ht="16.5"/>
    <row r="628" s="242" customFormat="1" ht="16.5"/>
    <row r="629" s="242" customFormat="1" ht="16.5"/>
    <row r="630" s="242" customFormat="1" ht="16.5"/>
    <row r="631" s="242" customFormat="1" ht="16.5"/>
    <row r="632" s="242" customFormat="1" ht="16.5"/>
    <row r="633" s="242" customFormat="1" ht="16.5"/>
    <row r="634" s="242" customFormat="1" ht="16.5"/>
    <row r="635" s="242" customFormat="1" ht="16.5"/>
    <row r="636" s="242" customFormat="1" ht="16.5"/>
    <row r="637" s="242" customFormat="1" ht="16.5"/>
    <row r="638" s="242" customFormat="1" ht="16.5"/>
    <row r="639" s="242" customFormat="1" ht="16.5"/>
    <row r="640" s="242" customFormat="1" ht="16.5"/>
    <row r="641" s="242" customFormat="1" ht="16.5"/>
    <row r="642" s="242" customFormat="1" ht="16.5"/>
    <row r="643" s="242" customFormat="1" ht="16.5"/>
    <row r="644" s="242" customFormat="1" ht="16.5"/>
    <row r="645" s="242" customFormat="1" ht="16.5"/>
    <row r="646" s="242" customFormat="1" ht="16.5"/>
    <row r="647" s="242" customFormat="1" ht="16.5"/>
    <row r="648" s="242" customFormat="1" ht="16.5"/>
    <row r="649" s="242" customFormat="1" ht="16.5"/>
    <row r="650" s="242" customFormat="1" ht="16.5"/>
    <row r="651" s="242" customFormat="1" ht="16.5"/>
    <row r="652" s="242" customFormat="1" ht="16.5"/>
    <row r="653" s="242" customFormat="1" ht="16.5"/>
    <row r="654" s="242" customFormat="1" ht="16.5"/>
    <row r="655" s="242" customFormat="1" ht="16.5"/>
    <row r="656" s="242" customFormat="1" ht="16.5"/>
    <row r="657" s="242" customFormat="1" ht="16.5"/>
    <row r="658" s="242" customFormat="1" ht="16.5"/>
    <row r="659" s="242" customFormat="1" ht="16.5"/>
    <row r="660" s="242" customFormat="1" ht="16.5"/>
    <row r="661" s="242" customFormat="1" ht="16.5"/>
    <row r="662" s="242" customFormat="1" ht="16.5"/>
    <row r="663" s="242" customFormat="1" ht="16.5"/>
    <row r="664" s="242" customFormat="1" ht="16.5"/>
    <row r="665" s="242" customFormat="1" ht="16.5"/>
    <row r="666" s="242" customFormat="1" ht="16.5"/>
    <row r="667" s="242" customFormat="1" ht="16.5"/>
    <row r="668" s="242" customFormat="1" ht="16.5"/>
    <row r="669" s="242" customFormat="1" ht="16.5"/>
    <row r="670" s="242" customFormat="1" ht="16.5"/>
    <row r="671" s="242" customFormat="1" ht="16.5"/>
    <row r="672" s="242" customFormat="1" ht="16.5"/>
    <row r="673" s="242" customFormat="1" ht="16.5"/>
    <row r="674" s="242" customFormat="1" ht="16.5"/>
    <row r="675" s="242" customFormat="1" ht="16.5"/>
    <row r="676" s="242" customFormat="1" ht="16.5"/>
    <row r="677" s="242" customFormat="1" ht="16.5"/>
    <row r="678" s="242" customFormat="1" ht="16.5"/>
    <row r="679" s="242" customFormat="1" ht="16.5"/>
    <row r="680" s="242" customFormat="1" ht="16.5"/>
    <row r="681" s="242" customFormat="1" ht="16.5"/>
    <row r="682" s="242" customFormat="1" ht="16.5"/>
    <row r="683" s="242" customFormat="1" ht="16.5"/>
    <row r="684" s="242" customFormat="1" ht="16.5"/>
    <row r="685" s="242" customFormat="1" ht="16.5"/>
    <row r="686" s="242" customFormat="1" ht="16.5"/>
    <row r="687" s="242" customFormat="1" ht="16.5"/>
    <row r="688" s="242" customFormat="1" ht="16.5"/>
    <row r="689" s="242" customFormat="1" ht="16.5"/>
    <row r="690" s="242" customFormat="1" ht="16.5"/>
    <row r="691" s="242" customFormat="1" ht="16.5"/>
    <row r="692" s="242" customFormat="1" ht="16.5"/>
    <row r="693" s="242" customFormat="1" ht="16.5"/>
    <row r="694" s="242" customFormat="1" ht="16.5"/>
    <row r="695" s="242" customFormat="1" ht="16.5"/>
    <row r="696" s="242" customFormat="1" ht="16.5"/>
    <row r="697" s="242" customFormat="1" ht="16.5"/>
    <row r="698" s="242" customFormat="1" ht="16.5"/>
    <row r="699" s="242" customFormat="1" ht="16.5"/>
    <row r="700" s="242" customFormat="1" ht="16.5"/>
    <row r="701" s="242" customFormat="1" ht="16.5"/>
    <row r="702" s="242" customFormat="1" ht="16.5"/>
    <row r="703" s="242" customFormat="1" ht="16.5"/>
    <row r="704" s="242" customFormat="1" ht="16.5"/>
    <row r="705" s="242" customFormat="1" ht="16.5"/>
    <row r="706" s="242" customFormat="1" ht="16.5"/>
    <row r="707" s="242" customFormat="1" ht="16.5"/>
    <row r="708" s="242" customFormat="1" ht="16.5"/>
    <row r="709" s="242" customFormat="1" ht="16.5"/>
    <row r="710" s="242" customFormat="1" ht="16.5"/>
    <row r="711" s="242" customFormat="1" ht="16.5"/>
    <row r="712" s="242" customFormat="1" ht="16.5"/>
    <row r="713" s="242" customFormat="1" ht="16.5"/>
    <row r="714" s="242" customFormat="1" ht="16.5"/>
    <row r="715" s="242" customFormat="1" ht="16.5"/>
    <row r="716" s="242" customFormat="1" ht="16.5"/>
    <row r="717" s="242" customFormat="1" ht="16.5"/>
    <row r="718" s="242" customFormat="1" ht="16.5"/>
    <row r="719" s="242" customFormat="1" ht="16.5"/>
    <row r="720" s="242" customFormat="1" ht="16.5"/>
    <row r="721" s="242" customFormat="1" ht="16.5"/>
    <row r="722" s="242" customFormat="1" ht="16.5"/>
    <row r="723" s="242" customFormat="1" ht="16.5"/>
    <row r="724" s="242" customFormat="1" ht="16.5"/>
    <row r="725" s="242" customFormat="1" ht="16.5"/>
    <row r="726" s="242" customFormat="1" ht="16.5"/>
    <row r="727" s="242" customFormat="1" ht="16.5"/>
    <row r="728" s="242" customFormat="1" ht="16.5"/>
    <row r="729" s="242" customFormat="1" ht="16.5"/>
    <row r="730" s="242" customFormat="1" ht="16.5"/>
    <row r="731" s="242" customFormat="1" ht="16.5"/>
    <row r="732" s="242" customFormat="1" ht="16.5"/>
    <row r="733" s="242" customFormat="1" ht="16.5"/>
    <row r="734" s="242" customFormat="1" ht="16.5"/>
    <row r="735" s="242" customFormat="1" ht="16.5"/>
    <row r="736" s="242" customFormat="1" ht="16.5"/>
    <row r="737" s="242" customFormat="1" ht="16.5"/>
    <row r="738" s="242" customFormat="1" ht="16.5"/>
    <row r="739" s="242" customFormat="1" ht="16.5"/>
    <row r="740" s="242" customFormat="1" ht="16.5"/>
    <row r="741" s="242" customFormat="1" ht="16.5"/>
    <row r="742" s="242" customFormat="1" ht="16.5"/>
    <row r="743" s="242" customFormat="1" ht="16.5"/>
    <row r="744" s="242" customFormat="1" ht="16.5"/>
    <row r="745" s="242" customFormat="1" ht="16.5"/>
    <row r="746" s="242" customFormat="1" ht="16.5"/>
    <row r="747" s="242" customFormat="1" ht="16.5"/>
    <row r="748" s="242" customFormat="1" ht="16.5"/>
    <row r="749" s="242" customFormat="1" ht="16.5"/>
    <row r="750" s="242" customFormat="1" ht="16.5"/>
    <row r="751" s="242" customFormat="1" ht="16.5"/>
    <row r="752" s="242" customFormat="1" ht="16.5"/>
    <row r="753" s="242" customFormat="1" ht="16.5"/>
    <row r="754" s="242" customFormat="1" ht="16.5"/>
    <row r="755" s="242" customFormat="1" ht="16.5"/>
    <row r="756" s="242" customFormat="1" ht="16.5"/>
    <row r="757" s="242" customFormat="1" ht="16.5"/>
    <row r="758" s="242" customFormat="1" ht="16.5"/>
    <row r="759" s="242" customFormat="1" ht="16.5"/>
    <row r="760" s="242" customFormat="1" ht="16.5"/>
    <row r="761" s="242" customFormat="1" ht="16.5"/>
    <row r="762" s="242" customFormat="1" ht="16.5"/>
    <row r="763" s="242" customFormat="1" ht="16.5"/>
    <row r="764" s="242" customFormat="1" ht="16.5"/>
    <row r="765" s="242" customFormat="1" ht="16.5"/>
    <row r="766" s="242" customFormat="1" ht="16.5"/>
    <row r="767" s="242" customFormat="1" ht="16.5"/>
    <row r="768" s="242" customFormat="1" ht="16.5"/>
    <row r="769" s="242" customFormat="1" ht="16.5"/>
    <row r="770" s="242" customFormat="1" ht="16.5"/>
    <row r="771" s="242" customFormat="1" ht="16.5"/>
    <row r="772" s="242" customFormat="1" ht="16.5"/>
    <row r="773" s="242" customFormat="1" ht="16.5"/>
    <row r="774" s="242" customFormat="1" ht="16.5"/>
    <row r="775" s="242" customFormat="1" ht="16.5"/>
    <row r="776" s="242" customFormat="1" ht="16.5"/>
    <row r="777" s="242" customFormat="1" ht="16.5"/>
    <row r="778" s="242" customFormat="1" ht="16.5"/>
    <row r="779" s="242" customFormat="1" ht="16.5"/>
    <row r="780" s="242" customFormat="1" ht="16.5"/>
    <row r="781" s="242" customFormat="1" ht="16.5"/>
    <row r="782" s="242" customFormat="1" ht="16.5"/>
    <row r="783" s="242" customFormat="1" ht="16.5"/>
    <row r="784" s="242" customFormat="1" ht="16.5"/>
    <row r="785" s="242" customFormat="1" ht="16.5"/>
    <row r="786" s="242" customFormat="1" ht="16.5"/>
    <row r="787" s="242" customFormat="1" ht="16.5"/>
    <row r="788" s="242" customFormat="1" ht="16.5"/>
    <row r="789" s="242" customFormat="1" ht="16.5"/>
    <row r="790" s="242" customFormat="1" ht="16.5"/>
    <row r="791" s="242" customFormat="1" ht="16.5"/>
    <row r="792" s="242" customFormat="1" ht="16.5"/>
    <row r="793" s="242" customFormat="1" ht="16.5"/>
    <row r="794" s="242" customFormat="1" ht="16.5"/>
    <row r="795" s="242" customFormat="1" ht="16.5"/>
    <row r="796" s="242" customFormat="1" ht="16.5"/>
    <row r="797" s="242" customFormat="1" ht="16.5"/>
    <row r="798" s="242" customFormat="1" ht="16.5"/>
    <row r="799" s="242" customFormat="1" ht="16.5"/>
    <row r="800" s="242" customFormat="1" ht="16.5"/>
    <row r="801" s="242" customFormat="1" ht="16.5"/>
    <row r="802" s="242" customFormat="1" ht="16.5"/>
    <row r="803" s="242" customFormat="1" ht="16.5"/>
    <row r="804" s="242" customFormat="1" ht="16.5"/>
    <row r="805" s="242" customFormat="1" ht="16.5"/>
    <row r="806" s="242" customFormat="1" ht="16.5"/>
    <row r="807" s="242" customFormat="1" ht="16.5"/>
    <row r="808" s="242" customFormat="1" ht="16.5"/>
    <row r="809" s="242" customFormat="1" ht="16.5"/>
    <row r="810" s="242" customFormat="1" ht="16.5"/>
    <row r="811" s="242" customFormat="1" ht="16.5"/>
    <row r="812" s="242" customFormat="1" ht="16.5"/>
    <row r="813" s="242" customFormat="1" ht="16.5"/>
    <row r="814" s="242" customFormat="1" ht="16.5"/>
    <row r="815" s="242" customFormat="1" ht="16.5"/>
    <row r="816" s="242" customFormat="1" ht="16.5"/>
    <row r="817" s="242" customFormat="1" ht="16.5"/>
    <row r="818" s="242" customFormat="1" ht="16.5"/>
    <row r="819" s="242" customFormat="1" ht="16.5"/>
    <row r="820" s="242" customFormat="1" ht="16.5"/>
    <row r="821" s="242" customFormat="1" ht="16.5"/>
    <row r="822" s="242" customFormat="1" ht="16.5"/>
    <row r="823" s="242" customFormat="1" ht="16.5"/>
    <row r="824" s="242" customFormat="1" ht="16.5"/>
    <row r="825" s="242" customFormat="1" ht="16.5"/>
    <row r="826" s="242" customFormat="1" ht="16.5"/>
    <row r="827" s="242" customFormat="1" ht="16.5"/>
    <row r="828" s="242" customFormat="1" ht="16.5"/>
    <row r="829" s="242" customFormat="1" ht="16.5"/>
    <row r="830" s="45" customFormat="1" ht="12.75"/>
    <row r="831" s="45" customFormat="1" ht="12.75"/>
    <row r="832" s="45" customFormat="1" ht="12.75"/>
    <row r="833" s="45" customFormat="1" ht="12.75"/>
    <row r="834" s="45" customFormat="1" ht="12.75"/>
    <row r="835" s="45" customFormat="1" ht="12.75"/>
  </sheetData>
  <mergeCells count="122">
    <mergeCell ref="E199:L199"/>
    <mergeCell ref="F167:L167"/>
    <mergeCell ref="E172:L172"/>
    <mergeCell ref="F173:L173"/>
    <mergeCell ref="F168:G168"/>
    <mergeCell ref="F79:L79"/>
    <mergeCell ref="F80:L80"/>
    <mergeCell ref="E166:L166"/>
    <mergeCell ref="F145:G145"/>
    <mergeCell ref="F146:G146"/>
    <mergeCell ref="E158:L158"/>
    <mergeCell ref="F160:G160"/>
    <mergeCell ref="O11:O12"/>
    <mergeCell ref="E38:L38"/>
    <mergeCell ref="E39:L39"/>
    <mergeCell ref="E186:L186"/>
    <mergeCell ref="F51:L51"/>
    <mergeCell ref="E15:M15"/>
    <mergeCell ref="E45:L45"/>
    <mergeCell ref="E40:L40"/>
    <mergeCell ref="F41:L41"/>
    <mergeCell ref="E35:L35"/>
    <mergeCell ref="E37:L37"/>
    <mergeCell ref="E83:G83"/>
    <mergeCell ref="F84:G84"/>
    <mergeCell ref="E103:G103"/>
    <mergeCell ref="F106:G106"/>
    <mergeCell ref="F58:L58"/>
    <mergeCell ref="F251:G251"/>
    <mergeCell ref="F71:L71"/>
    <mergeCell ref="F72:L72"/>
    <mergeCell ref="E155:L155"/>
    <mergeCell ref="F73:L73"/>
    <mergeCell ref="F74:L74"/>
    <mergeCell ref="E70:L70"/>
    <mergeCell ref="F107:G107"/>
    <mergeCell ref="E149:G149"/>
    <mergeCell ref="F152:G152"/>
    <mergeCell ref="F153:G153"/>
    <mergeCell ref="E78:L78"/>
    <mergeCell ref="F121:G121"/>
    <mergeCell ref="E110:G110"/>
    <mergeCell ref="F113:G113"/>
    <mergeCell ref="F114:G114"/>
    <mergeCell ref="E135:G135"/>
    <mergeCell ref="F138:G138"/>
    <mergeCell ref="F139:G139"/>
    <mergeCell ref="E117:G117"/>
    <mergeCell ref="F188:L188"/>
    <mergeCell ref="F189:G189"/>
    <mergeCell ref="E142:G142"/>
    <mergeCell ref="F190:G190"/>
    <mergeCell ref="A11:D11"/>
    <mergeCell ref="F11:M12"/>
    <mergeCell ref="E32:L32"/>
    <mergeCell ref="E243:L243"/>
    <mergeCell ref="F250:G250"/>
    <mergeCell ref="F55:L55"/>
    <mergeCell ref="F57:L57"/>
    <mergeCell ref="F60:L60"/>
    <mergeCell ref="F52:L52"/>
    <mergeCell ref="F54:L54"/>
    <mergeCell ref="E33:L33"/>
    <mergeCell ref="E34:L34"/>
    <mergeCell ref="A12:D12"/>
    <mergeCell ref="E31:L31"/>
    <mergeCell ref="E23:L23"/>
    <mergeCell ref="E16:L16"/>
    <mergeCell ref="E21:L21"/>
    <mergeCell ref="E22:L22"/>
    <mergeCell ref="E13:L13"/>
    <mergeCell ref="E14:L14"/>
    <mergeCell ref="F120:G120"/>
    <mergeCell ref="E88:G88"/>
    <mergeCell ref="F89:G89"/>
    <mergeCell ref="F169:G169"/>
    <mergeCell ref="J488:O488"/>
    <mergeCell ref="A7:O7"/>
    <mergeCell ref="A8:O8"/>
    <mergeCell ref="A9:O9"/>
    <mergeCell ref="E474:G474"/>
    <mergeCell ref="E475:G475"/>
    <mergeCell ref="E476:G476"/>
    <mergeCell ref="E471:G471"/>
    <mergeCell ref="E472:G472"/>
    <mergeCell ref="E473:G473"/>
    <mergeCell ref="E468:G468"/>
    <mergeCell ref="E469:G469"/>
    <mergeCell ref="E470:G470"/>
    <mergeCell ref="E466:M466"/>
    <mergeCell ref="F467:M467"/>
    <mergeCell ref="F427:G427"/>
    <mergeCell ref="F329:L329"/>
    <mergeCell ref="F433:G433"/>
    <mergeCell ref="E397:L397"/>
    <mergeCell ref="F398:G398"/>
    <mergeCell ref="E265:L265"/>
    <mergeCell ref="F266:L266"/>
    <mergeCell ref="J482:O482"/>
    <mergeCell ref="F75:L75"/>
    <mergeCell ref="E477:G477"/>
    <mergeCell ref="J481:O481"/>
    <mergeCell ref="E315:L315"/>
    <mergeCell ref="F316:L316"/>
    <mergeCell ref="E333:L333"/>
    <mergeCell ref="E432:G432"/>
    <mergeCell ref="E271:L271"/>
    <mergeCell ref="F393:L393"/>
    <mergeCell ref="E394:L394"/>
    <mergeCell ref="E429:G429"/>
    <mergeCell ref="E409:G409"/>
    <mergeCell ref="F410:G410"/>
    <mergeCell ref="E401:G401"/>
    <mergeCell ref="F402:G402"/>
    <mergeCell ref="E416:G416"/>
    <mergeCell ref="F417:G417"/>
    <mergeCell ref="F418:G418"/>
    <mergeCell ref="E426:G426"/>
    <mergeCell ref="E422:L422"/>
    <mergeCell ref="F423:G423"/>
    <mergeCell ref="E436:G436"/>
    <mergeCell ref="E459:G459"/>
  </mergeCells>
  <printOptions horizontalCentered="1"/>
  <pageMargins left="1" right="0.5" top="0.75" bottom="0.33" header="0.28000000000000003" footer="0.28000000000000003"/>
  <pageSetup paperSize="5" scale="95" orientation="portrait" horizontalDpi="360" verticalDpi="36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F0"/>
  </sheetPr>
  <dimension ref="A2:L80"/>
  <sheetViews>
    <sheetView topLeftCell="A26" workbookViewId="0">
      <selection activeCell="I48" sqref="I48"/>
    </sheetView>
  </sheetViews>
  <sheetFormatPr defaultRowHeight="15"/>
  <cols>
    <col min="1" max="1" width="4.140625" customWidth="1"/>
    <col min="2" max="2" width="0.5703125" customWidth="1"/>
    <col min="3" max="4" width="5.28515625" customWidth="1"/>
    <col min="5" max="5" width="10.85546875" customWidth="1"/>
    <col min="12" max="12" width="42.5703125" customWidth="1"/>
  </cols>
  <sheetData>
    <row r="2" spans="1:12" ht="15.75" thickBot="1">
      <c r="A2" s="1"/>
      <c r="B2" s="1"/>
    </row>
    <row r="3" spans="1:12" s="20" customFormat="1" ht="16.5" thickBot="1">
      <c r="A3" s="23"/>
      <c r="B3" s="24"/>
      <c r="C3" s="25"/>
      <c r="D3" s="25" t="s">
        <v>80</v>
      </c>
      <c r="E3" s="26"/>
      <c r="F3" s="909" t="s">
        <v>81</v>
      </c>
      <c r="G3" s="910"/>
      <c r="H3" s="910"/>
      <c r="I3" s="910"/>
      <c r="J3" s="910"/>
      <c r="K3" s="910"/>
      <c r="L3" s="911"/>
    </row>
    <row r="4" spans="1:12" s="20" customFormat="1" ht="24.75" customHeight="1" thickBot="1">
      <c r="A4" s="915"/>
      <c r="B4" s="916"/>
      <c r="C4" s="912" t="s">
        <v>10</v>
      </c>
      <c r="D4" s="914"/>
      <c r="E4" s="27" t="s">
        <v>11</v>
      </c>
      <c r="F4" s="912"/>
      <c r="G4" s="913"/>
      <c r="H4" s="913"/>
      <c r="I4" s="913"/>
      <c r="J4" s="913"/>
      <c r="K4" s="913"/>
      <c r="L4" s="914"/>
    </row>
    <row r="5" spans="1:12" ht="15.75">
      <c r="A5" s="4"/>
      <c r="B5" s="3"/>
      <c r="C5" s="40">
        <v>2</v>
      </c>
      <c r="D5" s="41">
        <v>1</v>
      </c>
      <c r="E5" s="7"/>
      <c r="F5" s="8" t="s">
        <v>82</v>
      </c>
      <c r="G5" s="9"/>
      <c r="H5" s="9"/>
      <c r="I5" s="9"/>
      <c r="J5" s="9"/>
      <c r="K5" s="10"/>
      <c r="L5" s="11"/>
    </row>
    <row r="6" spans="1:12" ht="15.75">
      <c r="A6" s="4"/>
      <c r="B6" s="3"/>
      <c r="C6" s="5">
        <v>2</v>
      </c>
      <c r="D6" s="6">
        <v>1</v>
      </c>
      <c r="E6" s="6">
        <v>1</v>
      </c>
      <c r="F6" s="12" t="s">
        <v>83</v>
      </c>
      <c r="G6" s="13"/>
      <c r="H6" s="13"/>
      <c r="I6" s="13"/>
      <c r="J6" s="13"/>
      <c r="K6" s="13"/>
      <c r="L6" s="14"/>
    </row>
    <row r="7" spans="1:12" ht="15.75">
      <c r="A7" s="4"/>
      <c r="B7" s="3"/>
      <c r="C7" s="5">
        <v>2</v>
      </c>
      <c r="D7" s="6">
        <v>1</v>
      </c>
      <c r="E7" s="6">
        <v>2</v>
      </c>
      <c r="F7" s="12" t="s">
        <v>84</v>
      </c>
      <c r="G7" s="13"/>
      <c r="H7" s="13"/>
      <c r="I7" s="13"/>
      <c r="J7" s="13"/>
      <c r="K7" s="13"/>
      <c r="L7" s="14"/>
    </row>
    <row r="8" spans="1:12" ht="15.75">
      <c r="A8" s="4"/>
      <c r="B8" s="3"/>
      <c r="C8" s="5">
        <v>2</v>
      </c>
      <c r="D8" s="6">
        <v>1</v>
      </c>
      <c r="E8" s="6">
        <v>3</v>
      </c>
      <c r="F8" s="12" t="s">
        <v>85</v>
      </c>
      <c r="G8" s="13"/>
      <c r="H8" s="13"/>
      <c r="I8" s="13"/>
      <c r="J8" s="13"/>
      <c r="K8" s="13"/>
      <c r="L8" s="14"/>
    </row>
    <row r="9" spans="1:12" ht="15.75">
      <c r="A9" s="4"/>
      <c r="B9" s="3"/>
      <c r="C9" s="5">
        <v>2</v>
      </c>
      <c r="D9" s="6">
        <v>1</v>
      </c>
      <c r="E9" s="6">
        <v>4</v>
      </c>
      <c r="F9" s="12" t="s">
        <v>86</v>
      </c>
      <c r="G9" s="13"/>
      <c r="H9" s="13"/>
      <c r="I9" s="13"/>
      <c r="J9" s="13"/>
      <c r="K9" s="13"/>
      <c r="L9" s="14"/>
    </row>
    <row r="10" spans="1:12" ht="15.75">
      <c r="A10" s="1"/>
      <c r="B10" s="2"/>
      <c r="C10" s="5">
        <v>2</v>
      </c>
      <c r="D10" s="6">
        <v>1</v>
      </c>
      <c r="E10" s="6">
        <v>5</v>
      </c>
      <c r="F10" s="12" t="s">
        <v>232</v>
      </c>
      <c r="G10" s="13"/>
      <c r="H10" s="13"/>
      <c r="I10" s="13"/>
      <c r="J10" s="13"/>
      <c r="K10" s="13"/>
      <c r="L10" s="14"/>
    </row>
    <row r="11" spans="1:12" ht="15.75">
      <c r="A11" s="1"/>
      <c r="B11" s="2"/>
      <c r="C11" s="41">
        <v>2</v>
      </c>
      <c r="D11" s="41">
        <v>2</v>
      </c>
      <c r="E11" s="7"/>
      <c r="F11" s="15" t="s">
        <v>87</v>
      </c>
      <c r="G11" s="16"/>
      <c r="H11" s="16"/>
      <c r="I11" s="16"/>
      <c r="J11" s="13"/>
      <c r="K11" s="13"/>
      <c r="L11" s="14"/>
    </row>
    <row r="12" spans="1:12" ht="15.75">
      <c r="A12" s="1"/>
      <c r="B12" s="2"/>
      <c r="C12" s="6">
        <v>2</v>
      </c>
      <c r="D12" s="6">
        <v>2</v>
      </c>
      <c r="E12" s="6">
        <v>1</v>
      </c>
      <c r="F12" s="12" t="s">
        <v>88</v>
      </c>
      <c r="G12" s="13"/>
      <c r="H12" s="13"/>
      <c r="I12" s="13"/>
      <c r="J12" s="13"/>
      <c r="K12" s="13"/>
      <c r="L12" s="14"/>
    </row>
    <row r="13" spans="1:12" ht="15.75">
      <c r="A13" s="1"/>
      <c r="B13" s="2"/>
      <c r="C13" s="6">
        <v>2</v>
      </c>
      <c r="D13" s="6">
        <v>2</v>
      </c>
      <c r="E13" s="6">
        <v>2</v>
      </c>
      <c r="F13" s="12" t="s">
        <v>89</v>
      </c>
      <c r="G13" s="13"/>
      <c r="H13" s="13"/>
      <c r="I13" s="13"/>
      <c r="J13" s="13"/>
      <c r="K13" s="13"/>
      <c r="L13" s="14"/>
    </row>
    <row r="14" spans="1:12" ht="15.75">
      <c r="A14" s="1"/>
      <c r="B14" s="2"/>
      <c r="C14" s="6">
        <v>2</v>
      </c>
      <c r="D14" s="6">
        <v>2</v>
      </c>
      <c r="E14" s="6">
        <v>3</v>
      </c>
      <c r="F14" s="12" t="s">
        <v>183</v>
      </c>
      <c r="G14" s="13"/>
      <c r="H14" s="13"/>
      <c r="I14" s="13"/>
      <c r="J14" s="13"/>
      <c r="K14" s="13"/>
      <c r="L14" s="14"/>
    </row>
    <row r="15" spans="1:12" ht="15.75">
      <c r="A15" s="1"/>
      <c r="B15" s="2"/>
      <c r="C15" s="6">
        <v>2</v>
      </c>
      <c r="D15" s="6">
        <v>2</v>
      </c>
      <c r="E15" s="6">
        <v>4</v>
      </c>
      <c r="F15" s="12" t="s">
        <v>90</v>
      </c>
      <c r="G15" s="13"/>
      <c r="H15" s="13"/>
      <c r="I15" s="13"/>
      <c r="J15" s="13"/>
      <c r="K15" s="13"/>
      <c r="L15" s="14"/>
    </row>
    <row r="16" spans="1:12" ht="15.75">
      <c r="A16" s="1"/>
      <c r="B16" s="2"/>
      <c r="C16" s="6">
        <v>2</v>
      </c>
      <c r="D16" s="6">
        <v>2</v>
      </c>
      <c r="E16" s="6">
        <v>5</v>
      </c>
      <c r="F16" s="12" t="s">
        <v>91</v>
      </c>
      <c r="G16" s="13"/>
      <c r="H16" s="13"/>
      <c r="I16" s="13"/>
      <c r="J16" s="13"/>
      <c r="K16" s="13"/>
      <c r="L16" s="14"/>
    </row>
    <row r="17" spans="1:12" ht="15.75">
      <c r="A17" s="1"/>
      <c r="B17" s="2"/>
      <c r="C17" s="6">
        <v>2</v>
      </c>
      <c r="D17" s="6">
        <v>2</v>
      </c>
      <c r="E17" s="6">
        <v>6</v>
      </c>
      <c r="F17" s="12" t="s">
        <v>92</v>
      </c>
      <c r="G17" s="13"/>
      <c r="H17" s="13"/>
      <c r="I17" s="13"/>
      <c r="J17" s="13"/>
      <c r="K17" s="13"/>
      <c r="L17" s="14"/>
    </row>
    <row r="18" spans="1:12" ht="15.75">
      <c r="A18" s="1"/>
      <c r="B18" s="2"/>
      <c r="C18" s="6">
        <v>2</v>
      </c>
      <c r="D18" s="6">
        <v>2</v>
      </c>
      <c r="E18" s="6">
        <v>7</v>
      </c>
      <c r="F18" s="12" t="s">
        <v>93</v>
      </c>
      <c r="G18" s="13"/>
      <c r="H18" s="13"/>
      <c r="I18" s="13"/>
      <c r="J18" s="13"/>
      <c r="K18" s="13"/>
      <c r="L18" s="14"/>
    </row>
    <row r="19" spans="1:12" ht="15.75">
      <c r="A19" s="1"/>
      <c r="B19" s="2"/>
      <c r="C19" s="6">
        <v>2</v>
      </c>
      <c r="D19" s="6">
        <v>2</v>
      </c>
      <c r="E19" s="6">
        <v>8</v>
      </c>
      <c r="F19" s="12" t="s">
        <v>94</v>
      </c>
      <c r="G19" s="13"/>
      <c r="H19" s="13"/>
      <c r="I19" s="13"/>
      <c r="J19" s="13"/>
      <c r="K19" s="13"/>
      <c r="L19" s="14"/>
    </row>
    <row r="20" spans="1:12" ht="15.75">
      <c r="A20" s="1"/>
      <c r="B20" s="2"/>
      <c r="C20" s="6">
        <v>2</v>
      </c>
      <c r="D20" s="6">
        <v>2</v>
      </c>
      <c r="E20" s="6">
        <v>9</v>
      </c>
      <c r="F20" s="12" t="s">
        <v>95</v>
      </c>
      <c r="G20" s="13"/>
      <c r="H20" s="13"/>
      <c r="I20" s="13"/>
      <c r="J20" s="13"/>
      <c r="K20" s="13"/>
      <c r="L20" s="14"/>
    </row>
    <row r="21" spans="1:12" ht="15.75">
      <c r="A21" s="1"/>
      <c r="B21" s="2"/>
      <c r="C21" s="6">
        <v>2</v>
      </c>
      <c r="D21" s="6">
        <v>2</v>
      </c>
      <c r="E21" s="6">
        <v>10</v>
      </c>
      <c r="F21" s="12" t="s">
        <v>96</v>
      </c>
      <c r="G21" s="13"/>
      <c r="H21" s="13"/>
      <c r="I21" s="13"/>
      <c r="J21" s="13"/>
      <c r="K21" s="13"/>
      <c r="L21" s="14"/>
    </row>
    <row r="22" spans="1:12" ht="15.75">
      <c r="A22" s="1"/>
      <c r="B22" s="2"/>
      <c r="C22" s="6">
        <v>2</v>
      </c>
      <c r="D22" s="6">
        <v>2</v>
      </c>
      <c r="E22" s="6">
        <v>11</v>
      </c>
      <c r="F22" s="12" t="s">
        <v>233</v>
      </c>
      <c r="G22" s="13"/>
      <c r="H22" s="13"/>
      <c r="I22" s="13"/>
      <c r="J22" s="13"/>
      <c r="K22" s="13"/>
      <c r="L22" s="14"/>
    </row>
    <row r="23" spans="1:12" ht="15.75">
      <c r="A23" s="1"/>
      <c r="B23" s="2"/>
      <c r="C23" s="6">
        <v>2</v>
      </c>
      <c r="D23" s="6">
        <v>2</v>
      </c>
      <c r="E23" s="6">
        <v>12</v>
      </c>
      <c r="F23" s="12" t="s">
        <v>234</v>
      </c>
      <c r="G23" s="13"/>
      <c r="H23" s="13"/>
      <c r="I23" s="13"/>
      <c r="J23" s="13"/>
      <c r="K23" s="13"/>
      <c r="L23" s="14"/>
    </row>
    <row r="24" spans="1:12" ht="15.75">
      <c r="A24" s="1"/>
      <c r="B24" s="2"/>
      <c r="C24" s="6">
        <v>2</v>
      </c>
      <c r="D24" s="6">
        <v>2</v>
      </c>
      <c r="E24" s="6">
        <v>13</v>
      </c>
      <c r="F24" s="12" t="s">
        <v>235</v>
      </c>
      <c r="G24" s="13"/>
      <c r="H24" s="13"/>
      <c r="I24" s="13"/>
      <c r="J24" s="13"/>
      <c r="K24" s="13"/>
      <c r="L24" s="14"/>
    </row>
    <row r="25" spans="1:12" ht="15.75">
      <c r="A25" s="1"/>
      <c r="B25" s="2"/>
      <c r="C25" s="6">
        <v>2</v>
      </c>
      <c r="D25" s="6">
        <v>2</v>
      </c>
      <c r="E25" s="6">
        <v>14</v>
      </c>
      <c r="F25" s="12" t="s">
        <v>236</v>
      </c>
      <c r="G25" s="13"/>
      <c r="H25" s="13"/>
      <c r="I25" s="13"/>
      <c r="J25" s="13"/>
      <c r="K25" s="13"/>
      <c r="L25" s="14"/>
    </row>
    <row r="26" spans="1:12" ht="15.75">
      <c r="A26" s="1"/>
      <c r="B26" s="2"/>
      <c r="C26" s="6">
        <v>2</v>
      </c>
      <c r="D26" s="6">
        <v>2</v>
      </c>
      <c r="E26" s="6">
        <v>15</v>
      </c>
      <c r="F26" s="12" t="s">
        <v>237</v>
      </c>
      <c r="G26" s="13"/>
      <c r="H26" s="13"/>
      <c r="I26" s="13"/>
      <c r="J26" s="13"/>
      <c r="K26" s="13"/>
      <c r="L26" s="14"/>
    </row>
    <row r="27" spans="1:12" ht="15.75">
      <c r="A27" s="1"/>
      <c r="B27" s="2"/>
      <c r="C27" s="6">
        <v>2</v>
      </c>
      <c r="D27" s="6">
        <v>2</v>
      </c>
      <c r="E27" s="6">
        <v>16</v>
      </c>
      <c r="F27" s="12" t="s">
        <v>102</v>
      </c>
      <c r="G27" s="13"/>
      <c r="H27" s="13"/>
      <c r="I27" s="13"/>
      <c r="J27" s="13"/>
      <c r="K27" s="13"/>
      <c r="L27" s="14"/>
    </row>
    <row r="28" spans="1:12" ht="15.75">
      <c r="A28" s="1"/>
      <c r="B28" s="2"/>
      <c r="C28" s="6">
        <v>2</v>
      </c>
      <c r="D28" s="6">
        <v>2</v>
      </c>
      <c r="E28" s="6">
        <v>17</v>
      </c>
      <c r="F28" s="12" t="s">
        <v>103</v>
      </c>
      <c r="G28" s="13"/>
      <c r="H28" s="13"/>
      <c r="I28" s="13"/>
      <c r="J28" s="13"/>
      <c r="K28" s="13"/>
      <c r="L28" s="14"/>
    </row>
    <row r="29" spans="1:12" ht="15.75">
      <c r="A29" s="1"/>
      <c r="B29" s="2"/>
      <c r="C29" s="6">
        <v>2</v>
      </c>
      <c r="D29" s="6">
        <v>2</v>
      </c>
      <c r="E29" s="6">
        <v>18</v>
      </c>
      <c r="F29" s="12" t="s">
        <v>238</v>
      </c>
      <c r="G29" s="13"/>
      <c r="H29" s="13"/>
      <c r="I29" s="13"/>
      <c r="J29" s="13"/>
      <c r="K29" s="13"/>
      <c r="L29" s="14"/>
    </row>
    <row r="30" spans="1:12" ht="15.75">
      <c r="A30" s="1"/>
      <c r="B30" s="2"/>
      <c r="C30" s="6">
        <v>2</v>
      </c>
      <c r="D30" s="6">
        <v>2</v>
      </c>
      <c r="E30" s="6">
        <v>19</v>
      </c>
      <c r="F30" s="12" t="s">
        <v>239</v>
      </c>
      <c r="G30" s="13"/>
      <c r="H30" s="13"/>
      <c r="I30" s="13"/>
      <c r="J30" s="13"/>
      <c r="K30" s="13"/>
      <c r="L30" s="14"/>
    </row>
    <row r="31" spans="1:12" ht="15.75">
      <c r="A31" s="1"/>
      <c r="B31" s="2"/>
      <c r="C31" s="6">
        <v>2</v>
      </c>
      <c r="D31" s="6">
        <v>2</v>
      </c>
      <c r="E31" s="6">
        <v>20</v>
      </c>
      <c r="F31" s="12" t="s">
        <v>232</v>
      </c>
      <c r="G31" s="13"/>
      <c r="H31" s="13"/>
      <c r="I31" s="13"/>
      <c r="J31" s="13"/>
      <c r="K31" s="13"/>
      <c r="L31" s="14"/>
    </row>
    <row r="32" spans="1:12" ht="15.75">
      <c r="A32" s="1"/>
      <c r="B32" s="2"/>
      <c r="C32" s="7"/>
      <c r="D32" s="7"/>
      <c r="E32" s="7"/>
      <c r="F32" s="12"/>
      <c r="G32" s="13"/>
      <c r="H32" s="13"/>
      <c r="I32" s="13"/>
      <c r="J32" s="13"/>
      <c r="K32" s="13"/>
      <c r="L32" s="14"/>
    </row>
    <row r="33" spans="1:12" ht="15.75">
      <c r="A33" s="1"/>
      <c r="B33" s="2"/>
      <c r="C33" s="41">
        <v>2</v>
      </c>
      <c r="D33" s="41">
        <v>3</v>
      </c>
      <c r="E33" s="7"/>
      <c r="F33" s="15" t="s">
        <v>240</v>
      </c>
      <c r="G33" s="16"/>
      <c r="H33" s="16"/>
      <c r="I33" s="16"/>
      <c r="J33" s="13"/>
      <c r="K33" s="13"/>
      <c r="L33" s="14"/>
    </row>
    <row r="34" spans="1:12" ht="15.75">
      <c r="A34" s="1"/>
      <c r="B34" s="2"/>
      <c r="C34" s="6">
        <v>2</v>
      </c>
      <c r="D34" s="6">
        <v>3</v>
      </c>
      <c r="E34" s="6">
        <v>1</v>
      </c>
      <c r="F34" s="12" t="s">
        <v>105</v>
      </c>
      <c r="G34" s="13"/>
      <c r="H34" s="13"/>
      <c r="I34" s="13"/>
      <c r="J34" s="13"/>
      <c r="K34" s="13"/>
      <c r="L34" s="14"/>
    </row>
    <row r="35" spans="1:12" ht="15.75">
      <c r="A35" s="1"/>
      <c r="B35" s="2"/>
      <c r="C35" s="6">
        <v>2</v>
      </c>
      <c r="D35" s="6">
        <v>3</v>
      </c>
      <c r="E35" s="6">
        <v>2</v>
      </c>
      <c r="F35" s="12" t="s">
        <v>106</v>
      </c>
      <c r="G35" s="13"/>
      <c r="H35" s="13"/>
      <c r="I35" s="13"/>
      <c r="J35" s="13"/>
      <c r="K35" s="13"/>
      <c r="L35" s="14"/>
    </row>
    <row r="36" spans="1:12" ht="15.75">
      <c r="A36" s="1"/>
      <c r="B36" s="2"/>
      <c r="C36" s="6">
        <v>2</v>
      </c>
      <c r="D36" s="6">
        <v>3</v>
      </c>
      <c r="E36" s="6">
        <v>3</v>
      </c>
      <c r="F36" s="12" t="s">
        <v>107</v>
      </c>
      <c r="G36" s="13"/>
      <c r="H36" s="13"/>
      <c r="I36" s="13"/>
      <c r="J36" s="13"/>
      <c r="K36" s="13"/>
      <c r="L36" s="14"/>
    </row>
    <row r="37" spans="1:12" ht="15.75">
      <c r="A37" s="1"/>
      <c r="B37" s="2"/>
      <c r="C37" s="6">
        <v>2</v>
      </c>
      <c r="D37" s="6">
        <v>3</v>
      </c>
      <c r="E37" s="6">
        <v>4</v>
      </c>
      <c r="F37" s="12" t="s">
        <v>108</v>
      </c>
      <c r="G37" s="13"/>
      <c r="H37" s="13"/>
      <c r="I37" s="13"/>
      <c r="J37" s="13"/>
      <c r="K37" s="13"/>
      <c r="L37" s="14"/>
    </row>
    <row r="38" spans="1:12" ht="15.75">
      <c r="A38" s="1"/>
      <c r="B38" s="2"/>
      <c r="C38" s="6">
        <v>2</v>
      </c>
      <c r="D38" s="6">
        <v>3</v>
      </c>
      <c r="E38" s="6">
        <v>5</v>
      </c>
      <c r="F38" s="12" t="s">
        <v>109</v>
      </c>
      <c r="G38" s="13"/>
      <c r="H38" s="13"/>
      <c r="I38" s="13"/>
      <c r="J38" s="13"/>
      <c r="K38" s="13"/>
      <c r="L38" s="14"/>
    </row>
    <row r="39" spans="1:12" ht="15.75">
      <c r="A39" s="1"/>
      <c r="B39" s="2"/>
      <c r="C39" s="6">
        <v>2</v>
      </c>
      <c r="D39" s="6">
        <v>3</v>
      </c>
      <c r="E39" s="6">
        <v>6</v>
      </c>
      <c r="F39" s="12" t="s">
        <v>110</v>
      </c>
      <c r="G39" s="13"/>
      <c r="H39" s="13"/>
      <c r="I39" s="13"/>
      <c r="J39" s="13"/>
      <c r="K39" s="13"/>
      <c r="L39" s="14"/>
    </row>
    <row r="40" spans="1:12" ht="15.75">
      <c r="A40" s="1"/>
      <c r="B40" s="2"/>
      <c r="C40" s="6">
        <v>2</v>
      </c>
      <c r="D40" s="6">
        <v>3</v>
      </c>
      <c r="E40" s="6">
        <v>7</v>
      </c>
      <c r="F40" s="12" t="s">
        <v>111</v>
      </c>
      <c r="G40" s="13"/>
      <c r="H40" s="13"/>
      <c r="I40" s="13"/>
      <c r="J40" s="13"/>
      <c r="K40" s="13"/>
      <c r="L40" s="14"/>
    </row>
    <row r="41" spans="1:12" ht="15.75">
      <c r="A41" s="1"/>
      <c r="B41" s="2"/>
      <c r="C41" s="6">
        <v>2</v>
      </c>
      <c r="D41" s="6">
        <v>3</v>
      </c>
      <c r="E41" s="6">
        <v>8</v>
      </c>
      <c r="F41" s="12" t="s">
        <v>112</v>
      </c>
      <c r="G41" s="13"/>
      <c r="H41" s="13"/>
      <c r="I41" s="13"/>
      <c r="J41" s="13"/>
      <c r="K41" s="13"/>
      <c r="L41" s="14"/>
    </row>
    <row r="42" spans="1:12" ht="15.75">
      <c r="A42" s="1"/>
      <c r="B42" s="2"/>
      <c r="C42" s="6">
        <v>2</v>
      </c>
      <c r="D42" s="6">
        <v>3</v>
      </c>
      <c r="E42" s="6">
        <v>9</v>
      </c>
      <c r="F42" s="12" t="s">
        <v>113</v>
      </c>
      <c r="G42" s="13"/>
      <c r="H42" s="13"/>
      <c r="I42" s="13"/>
      <c r="J42" s="13"/>
      <c r="K42" s="13"/>
      <c r="L42" s="14"/>
    </row>
    <row r="43" spans="1:12" ht="15.75">
      <c r="A43" s="1"/>
      <c r="B43" s="2"/>
      <c r="C43" s="6">
        <v>2</v>
      </c>
      <c r="D43" s="6">
        <v>3</v>
      </c>
      <c r="E43" s="6">
        <v>10</v>
      </c>
      <c r="F43" s="12" t="s">
        <v>114</v>
      </c>
      <c r="G43" s="13"/>
      <c r="H43" s="13"/>
      <c r="I43" s="13"/>
      <c r="J43" s="13"/>
      <c r="K43" s="13"/>
      <c r="L43" s="14"/>
    </row>
    <row r="44" spans="1:12" ht="15.75">
      <c r="A44" s="1"/>
      <c r="B44" s="2"/>
      <c r="C44" s="6">
        <v>2</v>
      </c>
      <c r="D44" s="6">
        <v>3</v>
      </c>
      <c r="E44" s="6">
        <v>11</v>
      </c>
      <c r="F44" s="12" t="s">
        <v>115</v>
      </c>
      <c r="G44" s="13"/>
      <c r="H44" s="13"/>
      <c r="I44" s="13"/>
      <c r="J44" s="13"/>
      <c r="K44" s="13"/>
      <c r="L44" s="14"/>
    </row>
    <row r="45" spans="1:12" ht="15.75">
      <c r="A45" s="1"/>
      <c r="B45" s="2"/>
      <c r="C45" s="6">
        <v>2</v>
      </c>
      <c r="D45" s="6">
        <v>3</v>
      </c>
      <c r="E45" s="6">
        <v>12</v>
      </c>
      <c r="F45" s="12" t="s">
        <v>116</v>
      </c>
      <c r="G45" s="13"/>
      <c r="H45" s="13"/>
      <c r="I45" s="13"/>
      <c r="J45" s="13"/>
      <c r="K45" s="13"/>
      <c r="L45" s="14"/>
    </row>
    <row r="46" spans="1:12" ht="15.75">
      <c r="A46" s="1"/>
      <c r="B46" s="2"/>
      <c r="C46" s="6">
        <v>2</v>
      </c>
      <c r="D46" s="6">
        <v>3</v>
      </c>
      <c r="E46" s="6">
        <v>13</v>
      </c>
      <c r="F46" s="12" t="s">
        <v>241</v>
      </c>
      <c r="G46" s="13"/>
      <c r="H46" s="13"/>
      <c r="I46" s="13"/>
      <c r="J46" s="13"/>
      <c r="K46" s="13"/>
      <c r="L46" s="14"/>
    </row>
    <row r="47" spans="1:12" ht="15.75">
      <c r="A47" s="1"/>
      <c r="B47" s="2"/>
      <c r="C47" s="6">
        <v>2</v>
      </c>
      <c r="D47" s="6">
        <v>3</v>
      </c>
      <c r="E47" s="6">
        <v>14</v>
      </c>
      <c r="F47" s="12" t="s">
        <v>120</v>
      </c>
      <c r="G47" s="13"/>
      <c r="H47" s="13"/>
      <c r="I47" s="13"/>
      <c r="J47" s="13"/>
      <c r="K47" s="13"/>
      <c r="L47" s="14"/>
    </row>
    <row r="48" spans="1:12" ht="15.75">
      <c r="A48" s="1"/>
      <c r="B48" s="2"/>
      <c r="C48" s="6">
        <v>2</v>
      </c>
      <c r="D48" s="6">
        <v>3</v>
      </c>
      <c r="E48" s="6">
        <v>15</v>
      </c>
      <c r="F48" s="12" t="s">
        <v>121</v>
      </c>
      <c r="G48" s="13"/>
      <c r="H48" s="13"/>
      <c r="I48" s="13"/>
      <c r="J48" s="13"/>
      <c r="K48" s="13"/>
      <c r="L48" s="14"/>
    </row>
    <row r="49" spans="1:12" ht="15.75">
      <c r="A49" s="1"/>
      <c r="B49" s="2"/>
      <c r="C49" s="6">
        <v>2</v>
      </c>
      <c r="D49" s="6">
        <v>3</v>
      </c>
      <c r="E49" s="6">
        <v>16</v>
      </c>
      <c r="F49" s="12" t="s">
        <v>122</v>
      </c>
      <c r="G49" s="13"/>
      <c r="H49" s="13"/>
      <c r="I49" s="13"/>
      <c r="J49" s="13"/>
      <c r="K49" s="13"/>
      <c r="L49" s="14"/>
    </row>
    <row r="50" spans="1:12" ht="15.75">
      <c r="A50" s="1"/>
      <c r="B50" s="2"/>
      <c r="C50" s="6">
        <v>2</v>
      </c>
      <c r="D50" s="6">
        <v>3</v>
      </c>
      <c r="E50" s="6">
        <v>17</v>
      </c>
      <c r="F50" s="12" t="s">
        <v>123</v>
      </c>
      <c r="G50" s="13"/>
      <c r="H50" s="13"/>
      <c r="I50" s="13"/>
      <c r="J50" s="13"/>
      <c r="K50" s="13"/>
      <c r="L50" s="14"/>
    </row>
    <row r="51" spans="1:12" ht="15.75">
      <c r="A51" s="1"/>
      <c r="B51" s="2"/>
      <c r="C51" s="6">
        <v>2</v>
      </c>
      <c r="D51" s="6">
        <v>3</v>
      </c>
      <c r="E51" s="6">
        <v>18</v>
      </c>
      <c r="F51" s="12" t="s">
        <v>124</v>
      </c>
      <c r="G51" s="13"/>
      <c r="H51" s="13"/>
      <c r="I51" s="13"/>
      <c r="J51" s="13"/>
      <c r="K51" s="13"/>
      <c r="L51" s="14"/>
    </row>
    <row r="52" spans="1:12" ht="15.75">
      <c r="A52" s="1"/>
      <c r="B52" s="2"/>
      <c r="C52" s="6">
        <v>2</v>
      </c>
      <c r="D52" s="6">
        <v>3</v>
      </c>
      <c r="E52" s="6">
        <v>19</v>
      </c>
      <c r="F52" s="12" t="s">
        <v>125</v>
      </c>
      <c r="G52" s="13"/>
      <c r="H52" s="13"/>
      <c r="I52" s="13"/>
      <c r="J52" s="13"/>
      <c r="K52" s="13"/>
      <c r="L52" s="14"/>
    </row>
    <row r="53" spans="1:12" ht="15.75">
      <c r="A53" s="1"/>
      <c r="B53" s="2"/>
      <c r="C53" s="6">
        <v>2</v>
      </c>
      <c r="D53" s="6">
        <v>3</v>
      </c>
      <c r="E53" s="6">
        <v>20</v>
      </c>
      <c r="F53" s="12" t="s">
        <v>242</v>
      </c>
      <c r="G53" s="13"/>
      <c r="H53" s="13"/>
      <c r="I53" s="13"/>
      <c r="J53" s="13"/>
      <c r="K53" s="13"/>
      <c r="L53" s="14"/>
    </row>
    <row r="54" spans="1:12" ht="15.75">
      <c r="A54" s="1"/>
      <c r="B54" s="2"/>
      <c r="C54" s="7"/>
      <c r="D54" s="7"/>
      <c r="E54" s="7"/>
      <c r="F54" s="12"/>
      <c r="G54" s="13"/>
      <c r="H54" s="13"/>
      <c r="I54" s="13"/>
      <c r="J54" s="13"/>
      <c r="K54" s="13"/>
      <c r="L54" s="14"/>
    </row>
    <row r="55" spans="1:12" ht="15.75">
      <c r="A55" s="1"/>
      <c r="B55" s="2"/>
      <c r="C55" s="41">
        <v>2</v>
      </c>
      <c r="D55" s="41">
        <v>4</v>
      </c>
      <c r="E55" s="42"/>
      <c r="F55" s="15" t="s">
        <v>243</v>
      </c>
      <c r="G55" s="16"/>
      <c r="H55" s="16"/>
      <c r="I55" s="16"/>
      <c r="J55" s="13"/>
      <c r="K55" s="13"/>
      <c r="L55" s="14"/>
    </row>
    <row r="56" spans="1:12" ht="15.75">
      <c r="A56" s="1"/>
      <c r="B56" s="2"/>
      <c r="C56" s="6">
        <v>2</v>
      </c>
      <c r="D56" s="6">
        <v>4</v>
      </c>
      <c r="E56" s="6">
        <v>1</v>
      </c>
      <c r="F56" s="12" t="s">
        <v>244</v>
      </c>
      <c r="G56" s="13"/>
      <c r="H56" s="13"/>
      <c r="I56" s="13"/>
      <c r="J56" s="13"/>
      <c r="K56" s="13"/>
      <c r="L56" s="14"/>
    </row>
    <row r="57" spans="1:12" ht="15.75">
      <c r="A57" s="1"/>
      <c r="B57" s="2"/>
      <c r="C57" s="6">
        <v>2</v>
      </c>
      <c r="D57" s="6">
        <v>4</v>
      </c>
      <c r="E57" s="6">
        <v>2</v>
      </c>
      <c r="F57" s="12" t="s">
        <v>246</v>
      </c>
      <c r="G57" s="13"/>
      <c r="H57" s="13"/>
      <c r="I57" s="13"/>
      <c r="J57" s="13"/>
      <c r="K57" s="13"/>
      <c r="L57" s="14"/>
    </row>
    <row r="58" spans="1:12" ht="15.75">
      <c r="A58" s="1"/>
      <c r="B58" s="2"/>
      <c r="C58" s="6">
        <v>2</v>
      </c>
      <c r="D58" s="6">
        <v>4</v>
      </c>
      <c r="E58" s="6">
        <v>3</v>
      </c>
      <c r="F58" s="12" t="s">
        <v>247</v>
      </c>
      <c r="G58" s="13"/>
      <c r="H58" s="13"/>
      <c r="I58" s="13"/>
      <c r="J58" s="13"/>
      <c r="K58" s="13"/>
      <c r="L58" s="14"/>
    </row>
    <row r="59" spans="1:12" ht="15.75">
      <c r="A59" s="1"/>
      <c r="B59" s="2"/>
      <c r="C59" s="6">
        <v>2</v>
      </c>
      <c r="D59" s="6">
        <v>4</v>
      </c>
      <c r="E59" s="6">
        <v>4</v>
      </c>
      <c r="F59" s="12" t="s">
        <v>245</v>
      </c>
      <c r="G59" s="13"/>
      <c r="H59" s="13"/>
      <c r="I59" s="13"/>
      <c r="J59" s="13"/>
      <c r="K59" s="13"/>
      <c r="L59" s="14"/>
    </row>
    <row r="60" spans="1:12" ht="15.75">
      <c r="A60" s="1"/>
      <c r="B60" s="2"/>
      <c r="C60" s="6">
        <v>2</v>
      </c>
      <c r="D60" s="6">
        <v>4</v>
      </c>
      <c r="E60" s="6">
        <v>5</v>
      </c>
      <c r="F60" s="12" t="s">
        <v>248</v>
      </c>
      <c r="G60" s="13"/>
      <c r="H60" s="13"/>
      <c r="I60" s="13"/>
      <c r="J60" s="13"/>
      <c r="K60" s="13"/>
      <c r="L60" s="14"/>
    </row>
    <row r="61" spans="1:12" ht="15.75">
      <c r="A61" s="1"/>
      <c r="B61" s="2"/>
      <c r="C61" s="6">
        <v>2</v>
      </c>
      <c r="D61" s="6">
        <v>4</v>
      </c>
      <c r="E61" s="6">
        <v>6</v>
      </c>
      <c r="F61" s="12" t="s">
        <v>249</v>
      </c>
      <c r="G61" s="13"/>
      <c r="H61" s="13"/>
      <c r="I61" s="13"/>
      <c r="J61" s="13"/>
      <c r="K61" s="13"/>
      <c r="L61" s="14"/>
    </row>
    <row r="62" spans="1:12" ht="15.75">
      <c r="A62" s="1"/>
      <c r="B62" s="2"/>
      <c r="C62" s="6">
        <v>2</v>
      </c>
      <c r="D62" s="6">
        <v>4</v>
      </c>
      <c r="E62" s="6">
        <v>7</v>
      </c>
      <c r="F62" s="12" t="s">
        <v>250</v>
      </c>
      <c r="G62" s="13"/>
      <c r="H62" s="13"/>
      <c r="I62" s="13"/>
      <c r="J62" s="13"/>
      <c r="K62" s="13"/>
      <c r="L62" s="14"/>
    </row>
    <row r="63" spans="1:12" ht="15.75">
      <c r="A63" s="1"/>
      <c r="B63" s="2"/>
      <c r="C63" s="6">
        <v>2</v>
      </c>
      <c r="D63" s="6">
        <v>4</v>
      </c>
      <c r="E63" s="6">
        <v>8</v>
      </c>
      <c r="F63" s="12" t="s">
        <v>251</v>
      </c>
      <c r="G63" s="13"/>
      <c r="H63" s="13"/>
      <c r="I63" s="13"/>
      <c r="J63" s="13"/>
      <c r="K63" s="13"/>
      <c r="L63" s="14"/>
    </row>
    <row r="64" spans="1:12" ht="15.75">
      <c r="A64" s="1"/>
      <c r="B64" s="2"/>
      <c r="C64" s="6">
        <v>2</v>
      </c>
      <c r="D64" s="6">
        <v>4</v>
      </c>
      <c r="E64" s="6">
        <v>9</v>
      </c>
      <c r="F64" s="12" t="s">
        <v>252</v>
      </c>
      <c r="G64" s="13"/>
      <c r="H64" s="13"/>
      <c r="I64" s="13"/>
      <c r="J64" s="13"/>
      <c r="K64" s="13"/>
      <c r="L64" s="14"/>
    </row>
    <row r="65" spans="1:12" ht="15.75">
      <c r="A65" s="1"/>
      <c r="B65" s="2"/>
      <c r="C65" s="6">
        <v>2</v>
      </c>
      <c r="D65" s="6">
        <v>4</v>
      </c>
      <c r="E65" s="6">
        <v>10</v>
      </c>
      <c r="F65" s="12" t="s">
        <v>253</v>
      </c>
      <c r="G65" s="13"/>
      <c r="H65" s="13"/>
      <c r="I65" s="13"/>
      <c r="J65" s="13"/>
      <c r="K65" s="13"/>
      <c r="L65" s="14"/>
    </row>
    <row r="66" spans="1:12" ht="15.75">
      <c r="A66" s="1"/>
      <c r="B66" s="2"/>
      <c r="C66" s="6">
        <v>2</v>
      </c>
      <c r="D66" s="6">
        <v>4</v>
      </c>
      <c r="E66" s="6">
        <v>11</v>
      </c>
      <c r="F66" s="12" t="s">
        <v>257</v>
      </c>
      <c r="G66" s="13"/>
      <c r="H66" s="13"/>
      <c r="I66" s="13"/>
      <c r="J66" s="13"/>
      <c r="K66" s="13"/>
      <c r="L66" s="14"/>
    </row>
    <row r="67" spans="1:12" ht="15.75">
      <c r="A67" s="1"/>
      <c r="B67" s="2"/>
      <c r="C67" s="6">
        <v>2</v>
      </c>
      <c r="D67" s="6">
        <v>4</v>
      </c>
      <c r="E67" s="6">
        <v>12</v>
      </c>
      <c r="F67" s="12" t="s">
        <v>256</v>
      </c>
      <c r="G67" s="13"/>
      <c r="H67" s="13"/>
      <c r="I67" s="13"/>
      <c r="J67" s="13"/>
      <c r="K67" s="13"/>
      <c r="L67" s="14"/>
    </row>
    <row r="68" spans="1:12" ht="15.75">
      <c r="A68" s="1"/>
      <c r="B68" s="2"/>
      <c r="C68" s="6">
        <v>2</v>
      </c>
      <c r="D68" s="6">
        <v>4</v>
      </c>
      <c r="E68" s="6">
        <v>13</v>
      </c>
      <c r="F68" s="12" t="s">
        <v>255</v>
      </c>
      <c r="G68" s="13"/>
      <c r="H68" s="13"/>
      <c r="I68" s="13"/>
      <c r="J68" s="13"/>
      <c r="K68" s="13"/>
      <c r="L68" s="14"/>
    </row>
    <row r="69" spans="1:12" ht="15.75">
      <c r="A69" s="1"/>
      <c r="B69" s="2"/>
      <c r="C69" s="6">
        <v>2</v>
      </c>
      <c r="D69" s="6">
        <v>4</v>
      </c>
      <c r="E69" s="6">
        <v>14</v>
      </c>
      <c r="F69" s="12" t="s">
        <v>254</v>
      </c>
      <c r="G69" s="13"/>
      <c r="H69" s="13"/>
      <c r="I69" s="13"/>
      <c r="J69" s="13"/>
      <c r="K69" s="13"/>
      <c r="L69" s="14"/>
    </row>
    <row r="70" spans="1:12" ht="15.75">
      <c r="A70" s="1"/>
      <c r="B70" s="2"/>
      <c r="C70" s="6">
        <v>2</v>
      </c>
      <c r="D70" s="6">
        <v>4</v>
      </c>
      <c r="E70" s="6">
        <v>15</v>
      </c>
      <c r="F70" s="12" t="s">
        <v>258</v>
      </c>
      <c r="G70" s="13"/>
      <c r="H70" s="13"/>
      <c r="I70" s="13"/>
      <c r="J70" s="13"/>
      <c r="K70" s="13"/>
      <c r="L70" s="14"/>
    </row>
    <row r="71" spans="1:12" ht="15.75">
      <c r="A71" s="1"/>
      <c r="B71" s="2"/>
      <c r="C71" s="6">
        <v>2</v>
      </c>
      <c r="D71" s="6">
        <v>4</v>
      </c>
      <c r="E71" s="6">
        <v>16</v>
      </c>
      <c r="F71" s="12" t="s">
        <v>259</v>
      </c>
      <c r="G71" s="13"/>
      <c r="H71" s="13"/>
      <c r="I71" s="13"/>
      <c r="J71" s="13"/>
      <c r="K71" s="13"/>
      <c r="L71" s="14"/>
    </row>
    <row r="72" spans="1:12" ht="15.75">
      <c r="A72" s="1"/>
      <c r="B72" s="2"/>
      <c r="C72" s="6">
        <v>2</v>
      </c>
      <c r="D72" s="6">
        <v>4</v>
      </c>
      <c r="E72" s="6">
        <v>17</v>
      </c>
      <c r="F72" s="12" t="s">
        <v>232</v>
      </c>
      <c r="G72" s="13"/>
      <c r="H72" s="13"/>
      <c r="I72" s="13"/>
      <c r="J72" s="13"/>
      <c r="K72" s="13"/>
      <c r="L72" s="14"/>
    </row>
    <row r="73" spans="1:12" ht="15.75">
      <c r="A73" s="1"/>
      <c r="B73" s="2"/>
      <c r="C73" s="6"/>
      <c r="D73" s="6"/>
      <c r="E73" s="6"/>
      <c r="F73" s="12"/>
      <c r="G73" s="13"/>
      <c r="H73" s="13"/>
      <c r="I73" s="13"/>
      <c r="J73" s="13"/>
      <c r="K73" s="13"/>
      <c r="L73" s="14"/>
    </row>
    <row r="74" spans="1:12" ht="15.75">
      <c r="A74" s="1"/>
      <c r="B74" s="2"/>
      <c r="C74" s="6">
        <v>2</v>
      </c>
      <c r="D74" s="6">
        <v>5</v>
      </c>
      <c r="E74" s="6"/>
      <c r="F74" s="15" t="s">
        <v>126</v>
      </c>
      <c r="G74" s="13"/>
      <c r="H74" s="13"/>
      <c r="I74" s="13"/>
      <c r="J74" s="13"/>
      <c r="K74" s="13"/>
      <c r="L74" s="14"/>
    </row>
    <row r="75" spans="1:12" ht="15.75">
      <c r="A75" s="1"/>
      <c r="B75" s="2"/>
      <c r="C75" s="6">
        <v>2</v>
      </c>
      <c r="D75" s="6">
        <v>5</v>
      </c>
      <c r="E75" s="6">
        <v>1</v>
      </c>
      <c r="F75" s="12" t="s">
        <v>127</v>
      </c>
      <c r="G75" s="13"/>
      <c r="H75" s="13"/>
      <c r="I75" s="13"/>
      <c r="J75" s="13"/>
      <c r="K75" s="13"/>
      <c r="L75" s="14"/>
    </row>
    <row r="76" spans="1:12" ht="15.75">
      <c r="A76" s="1"/>
      <c r="B76" s="2"/>
      <c r="C76" s="6">
        <v>2</v>
      </c>
      <c r="D76" s="6">
        <v>5</v>
      </c>
      <c r="E76" s="6">
        <v>2</v>
      </c>
      <c r="F76" s="12" t="s">
        <v>169</v>
      </c>
      <c r="G76" s="13"/>
      <c r="H76" s="13"/>
      <c r="I76" s="13"/>
      <c r="J76" s="13"/>
      <c r="K76" s="13"/>
      <c r="L76" s="14"/>
    </row>
    <row r="77" spans="1:12" ht="15.75">
      <c r="A77" s="1"/>
      <c r="B77" s="2"/>
      <c r="C77" s="6">
        <v>2</v>
      </c>
      <c r="D77" s="6">
        <v>5</v>
      </c>
      <c r="E77" s="6">
        <v>3</v>
      </c>
      <c r="F77" s="12" t="s">
        <v>170</v>
      </c>
      <c r="G77" s="13"/>
      <c r="H77" s="13"/>
      <c r="I77" s="13"/>
      <c r="J77" s="13"/>
      <c r="K77" s="13"/>
      <c r="L77" s="14"/>
    </row>
    <row r="78" spans="1:12" ht="15.75">
      <c r="A78" s="1"/>
      <c r="B78" s="2"/>
      <c r="C78" s="6">
        <v>2</v>
      </c>
      <c r="D78" s="6">
        <v>5</v>
      </c>
      <c r="E78" s="6">
        <v>4</v>
      </c>
      <c r="F78" s="12" t="s">
        <v>185</v>
      </c>
      <c r="G78" s="13"/>
      <c r="H78" s="13"/>
      <c r="I78" s="13"/>
      <c r="J78" s="13"/>
      <c r="K78" s="13"/>
      <c r="L78" s="14"/>
    </row>
    <row r="79" spans="1:12" ht="16.5" thickBot="1">
      <c r="A79" s="1"/>
      <c r="B79" s="2"/>
      <c r="C79" s="22">
        <v>2</v>
      </c>
      <c r="D79" s="22">
        <v>5</v>
      </c>
      <c r="E79" s="22">
        <v>5</v>
      </c>
      <c r="F79" s="17" t="s">
        <v>232</v>
      </c>
      <c r="G79" s="18"/>
      <c r="H79" s="18"/>
      <c r="I79" s="18"/>
      <c r="J79" s="18"/>
      <c r="K79" s="18"/>
      <c r="L79" s="19"/>
    </row>
    <row r="80" spans="1:12" ht="15.75">
      <c r="A80" s="1"/>
      <c r="B80" s="1"/>
      <c r="C80" s="39"/>
      <c r="D80" s="39"/>
      <c r="E80" s="39"/>
      <c r="F80" s="13"/>
      <c r="G80" s="13"/>
      <c r="H80" s="13"/>
      <c r="I80" s="13"/>
      <c r="J80" s="13"/>
      <c r="K80" s="13"/>
      <c r="L80" s="13"/>
    </row>
  </sheetData>
  <mergeCells count="3">
    <mergeCell ref="F3:L4"/>
    <mergeCell ref="A4:B4"/>
    <mergeCell ref="C4:D4"/>
  </mergeCells>
  <pageMargins left="0.70866141732283472" right="0.70866141732283472" top="0.67" bottom="0.39" header="0.89" footer="0.31496062992125984"/>
  <pageSetup paperSize="41" scale="80" orientation="portrait" horizontalDpi="360" verticalDpi="36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2:L60"/>
  <sheetViews>
    <sheetView workbookViewId="0">
      <selection activeCell="L1" sqref="L1"/>
    </sheetView>
  </sheetViews>
  <sheetFormatPr defaultRowHeight="15"/>
  <cols>
    <col min="1" max="1" width="4.140625" customWidth="1"/>
    <col min="2" max="2" width="0.5703125" customWidth="1"/>
    <col min="3" max="4" width="5.28515625" customWidth="1"/>
    <col min="5" max="5" width="10.85546875" customWidth="1"/>
    <col min="12" max="12" width="24.42578125" customWidth="1"/>
  </cols>
  <sheetData>
    <row r="2" spans="1:12" ht="15.75" thickBot="1">
      <c r="A2" s="1"/>
      <c r="B2" s="1"/>
    </row>
    <row r="3" spans="1:12" s="20" customFormat="1" ht="16.5" thickBot="1">
      <c r="A3" s="23"/>
      <c r="B3" s="24"/>
      <c r="C3" s="25"/>
      <c r="D3" s="25" t="s">
        <v>80</v>
      </c>
      <c r="E3" s="26"/>
      <c r="F3" s="909" t="s">
        <v>81</v>
      </c>
      <c r="G3" s="910"/>
      <c r="H3" s="910"/>
      <c r="I3" s="910"/>
      <c r="J3" s="910"/>
      <c r="K3" s="910"/>
      <c r="L3" s="911"/>
    </row>
    <row r="4" spans="1:12" s="20" customFormat="1" ht="24.75" customHeight="1" thickBot="1">
      <c r="A4" s="915"/>
      <c r="B4" s="916"/>
      <c r="C4" s="912" t="s">
        <v>10</v>
      </c>
      <c r="D4" s="914"/>
      <c r="E4" s="27" t="s">
        <v>11</v>
      </c>
      <c r="F4" s="912"/>
      <c r="G4" s="913"/>
      <c r="H4" s="913"/>
      <c r="I4" s="913"/>
      <c r="J4" s="913"/>
      <c r="K4" s="913"/>
      <c r="L4" s="914"/>
    </row>
    <row r="5" spans="1:12" ht="15.75">
      <c r="A5" s="4"/>
      <c r="B5" s="3"/>
      <c r="C5" s="5">
        <v>2</v>
      </c>
      <c r="D5" s="6">
        <v>1</v>
      </c>
      <c r="E5" s="7"/>
      <c r="F5" s="8" t="s">
        <v>82</v>
      </c>
      <c r="G5" s="9"/>
      <c r="H5" s="9"/>
      <c r="I5" s="9"/>
      <c r="J5" s="9"/>
      <c r="K5" s="10"/>
      <c r="L5" s="11"/>
    </row>
    <row r="6" spans="1:12" ht="15.75">
      <c r="A6" s="4"/>
      <c r="B6" s="3"/>
      <c r="C6" s="5">
        <v>2</v>
      </c>
      <c r="D6" s="6">
        <v>1</v>
      </c>
      <c r="E6" s="6">
        <v>1</v>
      </c>
      <c r="F6" s="12" t="s">
        <v>83</v>
      </c>
      <c r="G6" s="13"/>
      <c r="H6" s="13"/>
      <c r="I6" s="13"/>
      <c r="J6" s="13"/>
      <c r="K6" s="13"/>
      <c r="L6" s="14"/>
    </row>
    <row r="7" spans="1:12" ht="15.75">
      <c r="A7" s="4"/>
      <c r="B7" s="3"/>
      <c r="C7" s="5">
        <v>2</v>
      </c>
      <c r="D7" s="6">
        <v>1</v>
      </c>
      <c r="E7" s="6">
        <v>2</v>
      </c>
      <c r="F7" s="12" t="s">
        <v>84</v>
      </c>
      <c r="G7" s="13"/>
      <c r="H7" s="13"/>
      <c r="I7" s="13"/>
      <c r="J7" s="13"/>
      <c r="K7" s="13"/>
      <c r="L7" s="14"/>
    </row>
    <row r="8" spans="1:12" ht="15.75">
      <c r="A8" s="4"/>
      <c r="B8" s="3"/>
      <c r="C8" s="5">
        <v>2</v>
      </c>
      <c r="D8" s="6">
        <v>1</v>
      </c>
      <c r="E8" s="6">
        <v>3</v>
      </c>
      <c r="F8" s="12" t="s">
        <v>85</v>
      </c>
      <c r="G8" s="13"/>
      <c r="H8" s="13"/>
      <c r="I8" s="13"/>
      <c r="J8" s="13"/>
      <c r="K8" s="13"/>
      <c r="L8" s="14"/>
    </row>
    <row r="9" spans="1:12" ht="15.75">
      <c r="A9" s="4"/>
      <c r="B9" s="3"/>
      <c r="C9" s="5">
        <v>2</v>
      </c>
      <c r="D9" s="6">
        <v>1</v>
      </c>
      <c r="E9" s="6">
        <v>4</v>
      </c>
      <c r="F9" s="12" t="s">
        <v>86</v>
      </c>
      <c r="G9" s="13"/>
      <c r="H9" s="13"/>
      <c r="I9" s="13"/>
      <c r="J9" s="13"/>
      <c r="K9" s="13"/>
      <c r="L9" s="14"/>
    </row>
    <row r="10" spans="1:12" ht="15.75">
      <c r="A10" s="1"/>
      <c r="B10" s="2"/>
      <c r="C10" s="7"/>
      <c r="D10" s="7"/>
      <c r="E10" s="7"/>
      <c r="F10" s="12"/>
      <c r="G10" s="13"/>
      <c r="H10" s="13"/>
      <c r="I10" s="13"/>
      <c r="J10" s="13"/>
      <c r="K10" s="13"/>
      <c r="L10" s="14"/>
    </row>
    <row r="11" spans="1:12" ht="15.75">
      <c r="A11" s="1"/>
      <c r="B11" s="2"/>
      <c r="C11" s="6">
        <v>2</v>
      </c>
      <c r="D11" s="6">
        <v>2</v>
      </c>
      <c r="E11" s="7"/>
      <c r="F11" s="15" t="s">
        <v>87</v>
      </c>
      <c r="G11" s="16"/>
      <c r="H11" s="16"/>
      <c r="I11" s="16"/>
      <c r="J11" s="13"/>
      <c r="K11" s="13"/>
      <c r="L11" s="14"/>
    </row>
    <row r="12" spans="1:12" ht="15.75">
      <c r="A12" s="1"/>
      <c r="B12" s="2"/>
      <c r="C12" s="6">
        <v>2</v>
      </c>
      <c r="D12" s="6">
        <v>2</v>
      </c>
      <c r="E12" s="6">
        <v>1</v>
      </c>
      <c r="F12" s="12" t="s">
        <v>88</v>
      </c>
      <c r="G12" s="13"/>
      <c r="H12" s="13"/>
      <c r="I12" s="13"/>
      <c r="J12" s="13"/>
      <c r="K12" s="13"/>
      <c r="L12" s="14"/>
    </row>
    <row r="13" spans="1:12" ht="15.75">
      <c r="A13" s="1"/>
      <c r="B13" s="2"/>
      <c r="C13" s="6">
        <v>2</v>
      </c>
      <c r="D13" s="6">
        <v>2</v>
      </c>
      <c r="E13" s="6">
        <v>2</v>
      </c>
      <c r="F13" s="12" t="s">
        <v>89</v>
      </c>
      <c r="G13" s="13"/>
      <c r="H13" s="13"/>
      <c r="I13" s="13"/>
      <c r="J13" s="13"/>
      <c r="K13" s="13"/>
      <c r="L13" s="14"/>
    </row>
    <row r="14" spans="1:12" ht="15.75">
      <c r="A14" s="1"/>
      <c r="B14" s="2"/>
      <c r="C14" s="6">
        <v>2</v>
      </c>
      <c r="D14" s="6">
        <v>2</v>
      </c>
      <c r="E14" s="6">
        <v>3</v>
      </c>
      <c r="F14" s="12" t="s">
        <v>183</v>
      </c>
      <c r="G14" s="13"/>
      <c r="H14" s="13"/>
      <c r="I14" s="13"/>
      <c r="J14" s="13"/>
      <c r="K14" s="13"/>
      <c r="L14" s="14"/>
    </row>
    <row r="15" spans="1:12" ht="15.75">
      <c r="A15" s="1"/>
      <c r="B15" s="2"/>
      <c r="C15" s="6">
        <v>2</v>
      </c>
      <c r="D15" s="6">
        <v>2</v>
      </c>
      <c r="E15" s="6">
        <v>4</v>
      </c>
      <c r="F15" s="12" t="s">
        <v>90</v>
      </c>
      <c r="G15" s="13"/>
      <c r="H15" s="13"/>
      <c r="I15" s="13"/>
      <c r="J15" s="13"/>
      <c r="K15" s="13"/>
      <c r="L15" s="14"/>
    </row>
    <row r="16" spans="1:12" ht="15.75">
      <c r="A16" s="1"/>
      <c r="B16" s="2"/>
      <c r="C16" s="6">
        <v>2</v>
      </c>
      <c r="D16" s="6">
        <v>2</v>
      </c>
      <c r="E16" s="6">
        <v>5</v>
      </c>
      <c r="F16" s="12" t="s">
        <v>91</v>
      </c>
      <c r="G16" s="13"/>
      <c r="H16" s="13"/>
      <c r="I16" s="13"/>
      <c r="J16" s="13"/>
      <c r="K16" s="13"/>
      <c r="L16" s="14"/>
    </row>
    <row r="17" spans="1:12" ht="15.75">
      <c r="A17" s="1"/>
      <c r="B17" s="2"/>
      <c r="C17" s="6">
        <v>2</v>
      </c>
      <c r="D17" s="6">
        <v>2</v>
      </c>
      <c r="E17" s="6">
        <v>6</v>
      </c>
      <c r="F17" s="12" t="s">
        <v>92</v>
      </c>
      <c r="G17" s="13"/>
      <c r="H17" s="13"/>
      <c r="I17" s="13"/>
      <c r="J17" s="13"/>
      <c r="K17" s="13"/>
      <c r="L17" s="14"/>
    </row>
    <row r="18" spans="1:12" ht="15.75">
      <c r="A18" s="1"/>
      <c r="B18" s="2"/>
      <c r="C18" s="6">
        <v>2</v>
      </c>
      <c r="D18" s="6">
        <v>2</v>
      </c>
      <c r="E18" s="6">
        <v>7</v>
      </c>
      <c r="F18" s="12" t="s">
        <v>93</v>
      </c>
      <c r="G18" s="13"/>
      <c r="H18" s="13"/>
      <c r="I18" s="13"/>
      <c r="J18" s="13"/>
      <c r="K18" s="13"/>
      <c r="L18" s="14"/>
    </row>
    <row r="19" spans="1:12" ht="15.75">
      <c r="A19" s="1"/>
      <c r="B19" s="2"/>
      <c r="C19" s="6">
        <v>2</v>
      </c>
      <c r="D19" s="6">
        <v>2</v>
      </c>
      <c r="E19" s="6">
        <v>8</v>
      </c>
      <c r="F19" s="12" t="s">
        <v>94</v>
      </c>
      <c r="G19" s="13"/>
      <c r="H19" s="13"/>
      <c r="I19" s="13"/>
      <c r="J19" s="13"/>
      <c r="K19" s="13"/>
      <c r="L19" s="14"/>
    </row>
    <row r="20" spans="1:12" ht="15.75">
      <c r="A20" s="1"/>
      <c r="B20" s="2"/>
      <c r="C20" s="6">
        <v>2</v>
      </c>
      <c r="D20" s="6">
        <v>2</v>
      </c>
      <c r="E20" s="6">
        <v>9</v>
      </c>
      <c r="F20" s="12" t="s">
        <v>95</v>
      </c>
      <c r="G20" s="13"/>
      <c r="H20" s="13"/>
      <c r="I20" s="13"/>
      <c r="J20" s="13"/>
      <c r="K20" s="13"/>
      <c r="L20" s="14"/>
    </row>
    <row r="21" spans="1:12" ht="15.75">
      <c r="A21" s="1"/>
      <c r="B21" s="2"/>
      <c r="C21" s="6">
        <v>2</v>
      </c>
      <c r="D21" s="6">
        <v>2</v>
      </c>
      <c r="E21" s="6">
        <v>10</v>
      </c>
      <c r="F21" s="12" t="s">
        <v>96</v>
      </c>
      <c r="G21" s="13"/>
      <c r="H21" s="13"/>
      <c r="I21" s="13"/>
      <c r="J21" s="13"/>
      <c r="K21" s="13"/>
      <c r="L21" s="14"/>
    </row>
    <row r="22" spans="1:12" ht="15.75">
      <c r="A22" s="1"/>
      <c r="B22" s="2"/>
      <c r="C22" s="6">
        <v>2</v>
      </c>
      <c r="D22" s="6">
        <v>2</v>
      </c>
      <c r="E22" s="6">
        <v>11</v>
      </c>
      <c r="F22" s="12" t="s">
        <v>97</v>
      </c>
      <c r="G22" s="13"/>
      <c r="H22" s="13"/>
      <c r="I22" s="13"/>
      <c r="J22" s="13"/>
      <c r="K22" s="13"/>
      <c r="L22" s="14"/>
    </row>
    <row r="23" spans="1:12" ht="15.75">
      <c r="A23" s="1"/>
      <c r="B23" s="2"/>
      <c r="C23" s="6">
        <v>2</v>
      </c>
      <c r="D23" s="6">
        <v>2</v>
      </c>
      <c r="E23" s="6">
        <v>12</v>
      </c>
      <c r="F23" s="12" t="s">
        <v>98</v>
      </c>
      <c r="G23" s="13"/>
      <c r="H23" s="13"/>
      <c r="I23" s="13"/>
      <c r="J23" s="13"/>
      <c r="K23" s="13"/>
      <c r="L23" s="14"/>
    </row>
    <row r="24" spans="1:12" ht="15.75">
      <c r="A24" s="1"/>
      <c r="B24" s="2"/>
      <c r="C24" s="6">
        <v>2</v>
      </c>
      <c r="D24" s="6">
        <v>2</v>
      </c>
      <c r="E24" s="6">
        <v>13</v>
      </c>
      <c r="F24" s="12" t="s">
        <v>99</v>
      </c>
      <c r="G24" s="13"/>
      <c r="H24" s="13"/>
      <c r="I24" s="13"/>
      <c r="J24" s="13"/>
      <c r="K24" s="13"/>
      <c r="L24" s="14"/>
    </row>
    <row r="25" spans="1:12" ht="15.75">
      <c r="A25" s="1"/>
      <c r="B25" s="2"/>
      <c r="C25" s="6">
        <v>2</v>
      </c>
      <c r="D25" s="6">
        <v>2</v>
      </c>
      <c r="E25" s="6">
        <v>14</v>
      </c>
      <c r="F25" s="12" t="s">
        <v>100</v>
      </c>
      <c r="G25" s="13"/>
      <c r="H25" s="13"/>
      <c r="I25" s="13"/>
      <c r="J25" s="13"/>
      <c r="K25" s="13"/>
      <c r="L25" s="14"/>
    </row>
    <row r="26" spans="1:12" ht="15.75">
      <c r="A26" s="1"/>
      <c r="B26" s="2"/>
      <c r="C26" s="6">
        <v>2</v>
      </c>
      <c r="D26" s="6">
        <v>2</v>
      </c>
      <c r="E26" s="6">
        <v>15</v>
      </c>
      <c r="F26" s="12" t="s">
        <v>101</v>
      </c>
      <c r="G26" s="13"/>
      <c r="H26" s="13"/>
      <c r="I26" s="13"/>
      <c r="J26" s="13"/>
      <c r="K26" s="13"/>
      <c r="L26" s="14"/>
    </row>
    <row r="27" spans="1:12" ht="15.75">
      <c r="A27" s="1"/>
      <c r="B27" s="2"/>
      <c r="C27" s="6">
        <v>2</v>
      </c>
      <c r="D27" s="6">
        <v>2</v>
      </c>
      <c r="E27" s="6">
        <v>16</v>
      </c>
      <c r="F27" s="12" t="s">
        <v>102</v>
      </c>
      <c r="G27" s="13"/>
      <c r="H27" s="13"/>
      <c r="I27" s="13"/>
      <c r="J27" s="13"/>
      <c r="K27" s="13"/>
      <c r="L27" s="14"/>
    </row>
    <row r="28" spans="1:12" ht="15.75">
      <c r="A28" s="1"/>
      <c r="B28" s="2"/>
      <c r="C28" s="6">
        <v>2</v>
      </c>
      <c r="D28" s="6">
        <v>2</v>
      </c>
      <c r="E28" s="6">
        <v>17</v>
      </c>
      <c r="F28" s="12" t="s">
        <v>103</v>
      </c>
      <c r="G28" s="13"/>
      <c r="H28" s="13"/>
      <c r="I28" s="13"/>
      <c r="J28" s="13"/>
      <c r="K28" s="13"/>
      <c r="L28" s="14"/>
    </row>
    <row r="29" spans="1:12" ht="15.75">
      <c r="A29" s="1"/>
      <c r="B29" s="2"/>
      <c r="C29" s="7"/>
      <c r="D29" s="7"/>
      <c r="E29" s="7"/>
      <c r="F29" s="12"/>
      <c r="G29" s="13"/>
      <c r="H29" s="13"/>
      <c r="I29" s="13"/>
      <c r="J29" s="13"/>
      <c r="K29" s="13"/>
      <c r="L29" s="14"/>
    </row>
    <row r="30" spans="1:12" ht="15.75">
      <c r="A30" s="1"/>
      <c r="B30" s="2"/>
      <c r="C30" s="6">
        <v>2</v>
      </c>
      <c r="D30" s="6">
        <v>3</v>
      </c>
      <c r="E30" s="7"/>
      <c r="F30" s="15" t="s">
        <v>104</v>
      </c>
      <c r="G30" s="16"/>
      <c r="H30" s="16"/>
      <c r="I30" s="16"/>
      <c r="J30" s="13"/>
      <c r="K30" s="13"/>
      <c r="L30" s="14"/>
    </row>
    <row r="31" spans="1:12" ht="15.75">
      <c r="A31" s="1"/>
      <c r="B31" s="2"/>
      <c r="C31" s="6">
        <v>2</v>
      </c>
      <c r="D31" s="6">
        <v>3</v>
      </c>
      <c r="E31" s="6">
        <v>1</v>
      </c>
      <c r="F31" s="12" t="s">
        <v>105</v>
      </c>
      <c r="G31" s="13"/>
      <c r="H31" s="13"/>
      <c r="I31" s="13"/>
      <c r="J31" s="13"/>
      <c r="K31" s="13"/>
      <c r="L31" s="14"/>
    </row>
    <row r="32" spans="1:12" ht="15.75">
      <c r="A32" s="1"/>
      <c r="B32" s="2"/>
      <c r="C32" s="6">
        <v>2</v>
      </c>
      <c r="D32" s="6">
        <v>3</v>
      </c>
      <c r="E32" s="6">
        <v>2</v>
      </c>
      <c r="F32" s="12" t="s">
        <v>106</v>
      </c>
      <c r="G32" s="13"/>
      <c r="H32" s="13"/>
      <c r="I32" s="13"/>
      <c r="J32" s="13"/>
      <c r="K32" s="13"/>
      <c r="L32" s="14"/>
    </row>
    <row r="33" spans="1:12" ht="15.75">
      <c r="A33" s="1"/>
      <c r="B33" s="2"/>
      <c r="C33" s="6">
        <v>2</v>
      </c>
      <c r="D33" s="6">
        <v>3</v>
      </c>
      <c r="E33" s="6">
        <v>3</v>
      </c>
      <c r="F33" s="12" t="s">
        <v>107</v>
      </c>
      <c r="G33" s="13"/>
      <c r="H33" s="13"/>
      <c r="I33" s="13"/>
      <c r="J33" s="13"/>
      <c r="K33" s="13"/>
      <c r="L33" s="14"/>
    </row>
    <row r="34" spans="1:12" ht="15.75">
      <c r="A34" s="1"/>
      <c r="B34" s="2"/>
      <c r="C34" s="6">
        <v>2</v>
      </c>
      <c r="D34" s="6">
        <v>3</v>
      </c>
      <c r="E34" s="6">
        <v>4</v>
      </c>
      <c r="F34" s="12" t="s">
        <v>108</v>
      </c>
      <c r="G34" s="13"/>
      <c r="H34" s="13"/>
      <c r="I34" s="13"/>
      <c r="J34" s="13"/>
      <c r="K34" s="13"/>
      <c r="L34" s="14"/>
    </row>
    <row r="35" spans="1:12" ht="15.75">
      <c r="A35" s="1"/>
      <c r="B35" s="2"/>
      <c r="C35" s="6">
        <v>2</v>
      </c>
      <c r="D35" s="6">
        <v>3</v>
      </c>
      <c r="E35" s="6">
        <v>5</v>
      </c>
      <c r="F35" s="12" t="s">
        <v>109</v>
      </c>
      <c r="G35" s="13"/>
      <c r="H35" s="13"/>
      <c r="I35" s="13"/>
      <c r="J35" s="13"/>
      <c r="K35" s="13"/>
      <c r="L35" s="14"/>
    </row>
    <row r="36" spans="1:12" ht="15.75">
      <c r="A36" s="1"/>
      <c r="B36" s="2"/>
      <c r="C36" s="6">
        <v>2</v>
      </c>
      <c r="D36" s="6">
        <v>3</v>
      </c>
      <c r="E36" s="6">
        <v>6</v>
      </c>
      <c r="F36" s="12" t="s">
        <v>110</v>
      </c>
      <c r="G36" s="13"/>
      <c r="H36" s="13"/>
      <c r="I36" s="13"/>
      <c r="J36" s="13"/>
      <c r="K36" s="13"/>
      <c r="L36" s="14"/>
    </row>
    <row r="37" spans="1:12" ht="15.75">
      <c r="A37" s="1"/>
      <c r="B37" s="2"/>
      <c r="C37" s="6">
        <v>2</v>
      </c>
      <c r="D37" s="6">
        <v>3</v>
      </c>
      <c r="E37" s="6">
        <v>7</v>
      </c>
      <c r="F37" s="12" t="s">
        <v>111</v>
      </c>
      <c r="G37" s="13"/>
      <c r="H37" s="13"/>
      <c r="I37" s="13"/>
      <c r="J37" s="13"/>
      <c r="K37" s="13"/>
      <c r="L37" s="14"/>
    </row>
    <row r="38" spans="1:12" ht="15.75">
      <c r="A38" s="1"/>
      <c r="B38" s="2"/>
      <c r="C38" s="6">
        <v>2</v>
      </c>
      <c r="D38" s="6">
        <v>3</v>
      </c>
      <c r="E38" s="6">
        <v>8</v>
      </c>
      <c r="F38" s="12" t="s">
        <v>112</v>
      </c>
      <c r="G38" s="13"/>
      <c r="H38" s="13"/>
      <c r="I38" s="13"/>
      <c r="J38" s="13"/>
      <c r="K38" s="13"/>
      <c r="L38" s="14"/>
    </row>
    <row r="39" spans="1:12" ht="15.75">
      <c r="A39" s="1"/>
      <c r="B39" s="2"/>
      <c r="C39" s="6">
        <v>2</v>
      </c>
      <c r="D39" s="6">
        <v>3</v>
      </c>
      <c r="E39" s="6">
        <v>9</v>
      </c>
      <c r="F39" s="12" t="s">
        <v>113</v>
      </c>
      <c r="G39" s="13"/>
      <c r="H39" s="13"/>
      <c r="I39" s="13"/>
      <c r="J39" s="13"/>
      <c r="K39" s="13"/>
      <c r="L39" s="14"/>
    </row>
    <row r="40" spans="1:12" ht="15.75">
      <c r="A40" s="1"/>
      <c r="B40" s="2"/>
      <c r="C40" s="6">
        <v>2</v>
      </c>
      <c r="D40" s="6">
        <v>3</v>
      </c>
      <c r="E40" s="6">
        <v>10</v>
      </c>
      <c r="F40" s="12" t="s">
        <v>114</v>
      </c>
      <c r="G40" s="13"/>
      <c r="H40" s="13"/>
      <c r="I40" s="13"/>
      <c r="J40" s="13"/>
      <c r="K40" s="13"/>
      <c r="L40" s="14"/>
    </row>
    <row r="41" spans="1:12" ht="15.75">
      <c r="A41" s="1"/>
      <c r="B41" s="2"/>
      <c r="C41" s="6">
        <v>2</v>
      </c>
      <c r="D41" s="6">
        <v>3</v>
      </c>
      <c r="E41" s="6">
        <v>11</v>
      </c>
      <c r="F41" s="12" t="s">
        <v>115</v>
      </c>
      <c r="G41" s="13"/>
      <c r="H41" s="13"/>
      <c r="I41" s="13"/>
      <c r="J41" s="13"/>
      <c r="K41" s="13"/>
      <c r="L41" s="14"/>
    </row>
    <row r="42" spans="1:12" ht="15.75">
      <c r="A42" s="1"/>
      <c r="B42" s="2"/>
      <c r="C42" s="6">
        <v>2</v>
      </c>
      <c r="D42" s="6">
        <v>3</v>
      </c>
      <c r="E42" s="6">
        <v>12</v>
      </c>
      <c r="F42" s="12" t="s">
        <v>116</v>
      </c>
      <c r="G42" s="13"/>
      <c r="H42" s="13"/>
      <c r="I42" s="13"/>
      <c r="J42" s="13"/>
      <c r="K42" s="13"/>
      <c r="L42" s="14"/>
    </row>
    <row r="43" spans="1:12" ht="15.75">
      <c r="A43" s="1"/>
      <c r="B43" s="2"/>
      <c r="C43" s="7"/>
      <c r="D43" s="7"/>
      <c r="E43" s="7"/>
      <c r="F43" s="12"/>
      <c r="G43" s="13"/>
      <c r="H43" s="13"/>
      <c r="I43" s="13"/>
      <c r="J43" s="13"/>
      <c r="K43" s="13"/>
      <c r="L43" s="14"/>
    </row>
    <row r="44" spans="1:12" ht="15.75">
      <c r="A44" s="1"/>
      <c r="B44" s="2"/>
      <c r="C44" s="6">
        <v>2</v>
      </c>
      <c r="D44" s="6">
        <v>4</v>
      </c>
      <c r="E44" s="7"/>
      <c r="F44" s="15" t="s">
        <v>117</v>
      </c>
      <c r="G44" s="16"/>
      <c r="H44" s="16"/>
      <c r="I44" s="16"/>
      <c r="J44" s="13"/>
      <c r="K44" s="13"/>
      <c r="L44" s="14"/>
    </row>
    <row r="45" spans="1:12" ht="15.75">
      <c r="A45" s="1"/>
      <c r="B45" s="2"/>
      <c r="C45" s="6">
        <v>2</v>
      </c>
      <c r="D45" s="6">
        <v>4</v>
      </c>
      <c r="E45" s="6">
        <v>1</v>
      </c>
      <c r="F45" s="12" t="s">
        <v>118</v>
      </c>
      <c r="G45" s="13"/>
      <c r="H45" s="13"/>
      <c r="I45" s="13"/>
      <c r="J45" s="13"/>
      <c r="K45" s="13"/>
      <c r="L45" s="14"/>
    </row>
    <row r="46" spans="1:12" ht="15.75">
      <c r="A46" s="1"/>
      <c r="B46" s="2"/>
      <c r="C46" s="6">
        <v>2</v>
      </c>
      <c r="D46" s="6">
        <v>4</v>
      </c>
      <c r="E46" s="6">
        <v>2</v>
      </c>
      <c r="F46" s="12" t="s">
        <v>119</v>
      </c>
      <c r="G46" s="13"/>
      <c r="H46" s="13"/>
      <c r="I46" s="13"/>
      <c r="J46" s="13"/>
      <c r="K46" s="13"/>
      <c r="L46" s="14"/>
    </row>
    <row r="47" spans="1:12" ht="15.75">
      <c r="A47" s="1"/>
      <c r="B47" s="2"/>
      <c r="C47" s="6">
        <v>2</v>
      </c>
      <c r="D47" s="6">
        <v>4</v>
      </c>
      <c r="E47" s="6">
        <v>3</v>
      </c>
      <c r="F47" s="12" t="s">
        <v>120</v>
      </c>
      <c r="G47" s="13"/>
      <c r="H47" s="13"/>
      <c r="I47" s="13"/>
      <c r="J47" s="13"/>
      <c r="K47" s="13"/>
      <c r="L47" s="14"/>
    </row>
    <row r="48" spans="1:12" ht="15.75">
      <c r="A48" s="1"/>
      <c r="B48" s="2"/>
      <c r="C48" s="6">
        <v>2</v>
      </c>
      <c r="D48" s="6">
        <v>4</v>
      </c>
      <c r="E48" s="6">
        <v>4</v>
      </c>
      <c r="F48" s="12" t="s">
        <v>121</v>
      </c>
      <c r="G48" s="13"/>
      <c r="H48" s="13"/>
      <c r="I48" s="13"/>
      <c r="J48" s="13"/>
      <c r="K48" s="13"/>
      <c r="L48" s="14"/>
    </row>
    <row r="49" spans="1:12" ht="15.75">
      <c r="A49" s="1"/>
      <c r="B49" s="2"/>
      <c r="C49" s="6">
        <v>2</v>
      </c>
      <c r="D49" s="6">
        <v>4</v>
      </c>
      <c r="E49" s="6">
        <v>5</v>
      </c>
      <c r="F49" s="12" t="s">
        <v>122</v>
      </c>
      <c r="G49" s="13"/>
      <c r="H49" s="13"/>
      <c r="I49" s="13"/>
      <c r="J49" s="13"/>
      <c r="K49" s="13"/>
      <c r="L49" s="14"/>
    </row>
    <row r="50" spans="1:12" ht="15.75">
      <c r="A50" s="1"/>
      <c r="B50" s="2"/>
      <c r="C50" s="6">
        <v>2</v>
      </c>
      <c r="D50" s="6">
        <v>4</v>
      </c>
      <c r="E50" s="6">
        <v>6</v>
      </c>
      <c r="F50" s="12" t="s">
        <v>123</v>
      </c>
      <c r="G50" s="13"/>
      <c r="H50" s="13"/>
      <c r="I50" s="13"/>
      <c r="J50" s="13"/>
      <c r="K50" s="13"/>
      <c r="L50" s="14"/>
    </row>
    <row r="51" spans="1:12" ht="15.75">
      <c r="A51" s="1"/>
      <c r="B51" s="2"/>
      <c r="C51" s="6">
        <v>2</v>
      </c>
      <c r="D51" s="6">
        <v>4</v>
      </c>
      <c r="E51" s="6">
        <v>7</v>
      </c>
      <c r="F51" s="12" t="s">
        <v>124</v>
      </c>
      <c r="G51" s="13"/>
      <c r="H51" s="13"/>
      <c r="I51" s="13"/>
      <c r="J51" s="13"/>
      <c r="K51" s="13"/>
      <c r="L51" s="14"/>
    </row>
    <row r="52" spans="1:12" ht="15.75">
      <c r="A52" s="1"/>
      <c r="B52" s="2"/>
      <c r="C52" s="6">
        <v>2</v>
      </c>
      <c r="D52" s="6">
        <v>4</v>
      </c>
      <c r="E52" s="6">
        <v>8</v>
      </c>
      <c r="F52" s="12" t="s">
        <v>125</v>
      </c>
      <c r="G52" s="13"/>
      <c r="H52" s="13"/>
      <c r="I52" s="13"/>
      <c r="J52" s="13"/>
      <c r="K52" s="13"/>
      <c r="L52" s="14"/>
    </row>
    <row r="53" spans="1:12" ht="15.75">
      <c r="A53" s="1"/>
      <c r="B53" s="2"/>
      <c r="C53" s="6">
        <v>2</v>
      </c>
      <c r="D53" s="6">
        <v>4</v>
      </c>
      <c r="E53" s="6">
        <v>9</v>
      </c>
      <c r="F53" s="12" t="s">
        <v>179</v>
      </c>
      <c r="G53" s="13"/>
      <c r="H53" s="13"/>
      <c r="I53" s="13"/>
      <c r="J53" s="13"/>
      <c r="K53" s="13"/>
      <c r="L53" s="14"/>
    </row>
    <row r="54" spans="1:12" ht="15.75">
      <c r="A54" s="1"/>
      <c r="B54" s="2"/>
      <c r="C54" s="6">
        <v>2</v>
      </c>
      <c r="D54" s="6">
        <v>4</v>
      </c>
      <c r="E54" s="6">
        <v>10</v>
      </c>
      <c r="F54" s="12" t="s">
        <v>184</v>
      </c>
      <c r="G54" s="13"/>
      <c r="H54" s="13"/>
      <c r="I54" s="13"/>
      <c r="J54" s="13"/>
      <c r="K54" s="13"/>
      <c r="L54" s="14"/>
    </row>
    <row r="55" spans="1:12" ht="15.75">
      <c r="A55" s="1"/>
      <c r="B55" s="2"/>
      <c r="C55" s="6"/>
      <c r="D55" s="6"/>
      <c r="E55" s="6"/>
      <c r="F55" s="12"/>
      <c r="G55" s="13"/>
      <c r="H55" s="13"/>
      <c r="I55" s="13"/>
      <c r="J55" s="13"/>
      <c r="K55" s="13"/>
      <c r="L55" s="14"/>
    </row>
    <row r="56" spans="1:12" ht="15.75">
      <c r="A56" s="1"/>
      <c r="B56" s="2"/>
      <c r="C56" s="6">
        <v>2</v>
      </c>
      <c r="D56" s="6">
        <v>5</v>
      </c>
      <c r="E56" s="6"/>
      <c r="F56" s="15" t="s">
        <v>126</v>
      </c>
      <c r="G56" s="13"/>
      <c r="H56" s="13"/>
      <c r="I56" s="13"/>
      <c r="J56" s="13"/>
      <c r="K56" s="13"/>
      <c r="L56" s="14"/>
    </row>
    <row r="57" spans="1:12" ht="15.75">
      <c r="A57" s="1"/>
      <c r="B57" s="2"/>
      <c r="C57" s="6">
        <v>2</v>
      </c>
      <c r="D57" s="6">
        <v>5</v>
      </c>
      <c r="E57" s="6">
        <v>1</v>
      </c>
      <c r="F57" s="12" t="s">
        <v>127</v>
      </c>
      <c r="G57" s="13"/>
      <c r="H57" s="13"/>
      <c r="I57" s="13"/>
      <c r="J57" s="13"/>
      <c r="K57" s="13"/>
      <c r="L57" s="14"/>
    </row>
    <row r="58" spans="1:12" ht="15.75">
      <c r="A58" s="1"/>
      <c r="B58" s="2"/>
      <c r="C58" s="6">
        <v>2</v>
      </c>
      <c r="D58" s="6">
        <v>5</v>
      </c>
      <c r="E58" s="6">
        <v>2</v>
      </c>
      <c r="F58" s="12" t="s">
        <v>169</v>
      </c>
      <c r="G58" s="13"/>
      <c r="H58" s="13"/>
      <c r="I58" s="13"/>
      <c r="J58" s="13"/>
      <c r="K58" s="13"/>
      <c r="L58" s="14"/>
    </row>
    <row r="59" spans="1:12" ht="15.75">
      <c r="A59" s="1"/>
      <c r="B59" s="2"/>
      <c r="C59" s="6">
        <v>2</v>
      </c>
      <c r="D59" s="6">
        <v>5</v>
      </c>
      <c r="E59" s="6">
        <v>3</v>
      </c>
      <c r="F59" s="12" t="s">
        <v>170</v>
      </c>
      <c r="G59" s="13"/>
      <c r="H59" s="13"/>
      <c r="I59" s="13"/>
      <c r="J59" s="13"/>
      <c r="K59" s="13"/>
      <c r="L59" s="14"/>
    </row>
    <row r="60" spans="1:12" ht="16.5" thickBot="1">
      <c r="A60" s="1"/>
      <c r="B60" s="2"/>
      <c r="C60" s="22">
        <v>2</v>
      </c>
      <c r="D60" s="22">
        <v>5</v>
      </c>
      <c r="E60" s="22">
        <v>4</v>
      </c>
      <c r="F60" s="17" t="s">
        <v>185</v>
      </c>
      <c r="G60" s="18"/>
      <c r="H60" s="18"/>
      <c r="I60" s="18"/>
      <c r="J60" s="18"/>
      <c r="K60" s="18"/>
      <c r="L60" s="19"/>
    </row>
  </sheetData>
  <mergeCells count="3">
    <mergeCell ref="A4:B4"/>
    <mergeCell ref="C4:D4"/>
    <mergeCell ref="F3:L4"/>
  </mergeCells>
  <pageMargins left="0.70866141732283472" right="0.70866141732283472" top="0.67" bottom="0.39" header="0.89" footer="0.31496062992125984"/>
  <pageSetup paperSize="41" scale="80" orientation="portrait" horizontalDpi="360" verticalDpi="36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1310"/>
  <sheetViews>
    <sheetView topLeftCell="C12" workbookViewId="0">
      <selection activeCell="D38" sqref="D38"/>
    </sheetView>
  </sheetViews>
  <sheetFormatPr defaultRowHeight="15"/>
  <cols>
    <col min="1" max="1" width="28.85546875" customWidth="1"/>
    <col min="2" max="2" width="21.42578125" customWidth="1"/>
    <col min="3" max="3" width="58.28515625" customWidth="1"/>
    <col min="4" max="10" width="15.7109375" customWidth="1"/>
    <col min="11" max="11" width="17.140625" customWidth="1"/>
    <col min="13" max="13" width="9.140625" customWidth="1"/>
  </cols>
  <sheetData>
    <row r="1" spans="1:11" s="33" customFormat="1">
      <c r="A1" s="164" t="str">
        <f>'APBDESA 16..'!E24</f>
        <v>Pendapatan Transfer</v>
      </c>
      <c r="B1" s="54">
        <f>SUM(B2+B3+B4+B8)</f>
        <v>1042646195</v>
      </c>
      <c r="C1" s="55"/>
      <c r="D1" s="47" t="s">
        <v>479</v>
      </c>
      <c r="E1" s="95" t="s">
        <v>480</v>
      </c>
      <c r="F1" s="95" t="s">
        <v>484</v>
      </c>
      <c r="G1" s="190" t="s">
        <v>217</v>
      </c>
      <c r="H1" s="95" t="s">
        <v>288</v>
      </c>
      <c r="I1" s="95" t="s">
        <v>286</v>
      </c>
      <c r="J1" s="47">
        <v>0.3</v>
      </c>
      <c r="K1" s="55">
        <v>0.7</v>
      </c>
    </row>
    <row r="2" spans="1:11" s="33" customFormat="1" ht="12.75">
      <c r="A2" s="164" t="s">
        <v>134</v>
      </c>
      <c r="B2" s="54">
        <f>'APBDESA 16..'!N15</f>
        <v>20000000</v>
      </c>
      <c r="C2" s="55" t="str">
        <f>'RAB 2.1.1OKE'!K7</f>
        <v>2.1.1 Penghasilan Tetap dan Tunjangan</v>
      </c>
      <c r="D2" s="53"/>
      <c r="E2" s="53">
        <v>0</v>
      </c>
      <c r="F2" s="53">
        <v>0</v>
      </c>
      <c r="G2" s="54">
        <f>'RAB 2.1.5 OKE '!P21</f>
        <v>10913649</v>
      </c>
      <c r="H2" s="54">
        <f>'RAB 2.1.1OKE'!R33</f>
        <v>117773900</v>
      </c>
      <c r="J2" s="54">
        <f>H2</f>
        <v>117773900</v>
      </c>
    </row>
    <row r="3" spans="1:11" s="33" customFormat="1" ht="12.75">
      <c r="A3" s="165" t="s">
        <v>139</v>
      </c>
      <c r="B3" s="54">
        <f>'APBDESA 16..'!N25</f>
        <v>641767000</v>
      </c>
      <c r="C3" s="50" t="str">
        <f>'RAB 2.1.2 OKE'!K6</f>
        <v>2.1.2 Operasional Perkantoran</v>
      </c>
      <c r="D3" s="53"/>
      <c r="E3" s="53">
        <v>0</v>
      </c>
      <c r="F3" s="53">
        <v>0</v>
      </c>
      <c r="H3" s="54">
        <f>'RAB 2.1.2 OKE'!R90</f>
        <v>92002500</v>
      </c>
      <c r="J3" s="54">
        <f>H3</f>
        <v>92002500</v>
      </c>
    </row>
    <row r="4" spans="1:11" s="33" customFormat="1" ht="12.75">
      <c r="A4" s="167" t="s">
        <v>436</v>
      </c>
      <c r="B4" s="54">
        <f>SUM(B5:B7)</f>
        <v>36712389</v>
      </c>
      <c r="C4" s="50" t="str">
        <f>'RAB 2.1.3  OKE'!H6</f>
        <v>2.1.3  Operasional BPD</v>
      </c>
      <c r="D4" s="53"/>
      <c r="E4" s="53">
        <v>0</v>
      </c>
      <c r="F4" s="53">
        <v>0</v>
      </c>
      <c r="H4" s="54">
        <f>'RAB 2.1.3  OKE'!O37</f>
        <v>3529500</v>
      </c>
      <c r="J4" s="54">
        <f>H4</f>
        <v>3529500</v>
      </c>
    </row>
    <row r="5" spans="1:11" s="33" customFormat="1" ht="12.75">
      <c r="A5" s="166" t="s">
        <v>404</v>
      </c>
      <c r="B5" s="54">
        <f>'APBDESA 16..'!N27</f>
        <v>14384750</v>
      </c>
      <c r="C5" s="54" t="str">
        <f>'RAB 2.1.4  OKE'!H6</f>
        <v>2.1.4  Operasional RK/RT</v>
      </c>
      <c r="D5" s="53"/>
      <c r="E5" s="53">
        <v>0</v>
      </c>
      <c r="F5" s="53">
        <v>0</v>
      </c>
      <c r="H5" s="54">
        <f>'RAB 2.1.4  OKE'!O22</f>
        <v>13440000</v>
      </c>
      <c r="J5" s="54">
        <f>H5</f>
        <v>13440000</v>
      </c>
    </row>
    <row r="6" spans="1:11" s="33" customFormat="1" ht="12.75">
      <c r="A6" s="166" t="s">
        <v>405</v>
      </c>
      <c r="B6" s="54">
        <f>'APBDESA 16..'!N28</f>
        <v>11413990</v>
      </c>
      <c r="C6" s="54" t="str">
        <f>'RAB 2.1.5 OKE '!I7</f>
        <v>2.1.5  Upah Pungut PBB</v>
      </c>
      <c r="D6" s="53"/>
      <c r="E6" s="53">
        <v>0</v>
      </c>
      <c r="F6" s="53">
        <v>0</v>
      </c>
      <c r="H6" s="54">
        <f>'RAB 2.1.8'!S31</f>
        <v>11614574</v>
      </c>
      <c r="J6" s="54">
        <f>H6</f>
        <v>11614574</v>
      </c>
    </row>
    <row r="7" spans="1:11" s="33" customFormat="1" ht="12.75">
      <c r="A7" s="166" t="s">
        <v>406</v>
      </c>
      <c r="B7" s="54">
        <f>'APBDESA 16..'!N29</f>
        <v>10913649</v>
      </c>
      <c r="C7" s="54" t="str">
        <f>'RAB 2.1.8'!L7</f>
        <v xml:space="preserve">2.1.8 Penyusunan Profil Desa </v>
      </c>
      <c r="D7" s="53"/>
      <c r="E7" s="53">
        <v>0</v>
      </c>
      <c r="F7" s="53">
        <v>0</v>
      </c>
      <c r="H7" s="54">
        <f>'RAB 2.1.9 OKE '!P21</f>
        <v>5000000</v>
      </c>
      <c r="J7" s="54">
        <f>E9</f>
        <v>2976500</v>
      </c>
    </row>
    <row r="8" spans="1:11" s="33" customFormat="1" ht="12.75">
      <c r="A8" s="33" t="str">
        <f>'APBDESA 16..'!E30</f>
        <v>Alokasi Dana Desa</v>
      </c>
      <c r="B8" s="54">
        <f>'APBDESA 16..'!N30</f>
        <v>344166806</v>
      </c>
      <c r="C8" s="54" t="str">
        <f>'RAB 2.1.9 OKE '!I7</f>
        <v>2.1.9  Pengadaan Tanah/Persertifikatan ( Sertifikat Kantor Desa)</v>
      </c>
      <c r="D8" s="53"/>
      <c r="E8" s="53">
        <v>0</v>
      </c>
      <c r="F8" s="53">
        <v>0</v>
      </c>
      <c r="J8" s="50">
        <f>E11</f>
        <v>3061500</v>
      </c>
    </row>
    <row r="9" spans="1:11" s="33" customFormat="1" ht="12.75">
      <c r="A9" s="55">
        <v>0.7</v>
      </c>
      <c r="B9" s="50">
        <f>B13*A9</f>
        <v>715852336.5</v>
      </c>
      <c r="C9" s="54" t="str">
        <f>'RAB 2.1.10'!J7</f>
        <v>2.1.10  Pelaksanaan Musrenbang Desa</v>
      </c>
      <c r="D9" s="53"/>
      <c r="E9" s="53">
        <f>'RAB 2.1.10'!Q34</f>
        <v>2976500</v>
      </c>
      <c r="J9" s="50">
        <f>E13</f>
        <v>1233750</v>
      </c>
    </row>
    <row r="10" spans="1:11" s="33" customFormat="1" ht="12.75">
      <c r="A10" s="55"/>
      <c r="B10" s="50"/>
      <c r="C10" s="54" t="str">
        <f>'RAB 2.1.12'!J7</f>
        <v>2.1.12  Penyusunan RKPDesa</v>
      </c>
      <c r="D10" s="53"/>
      <c r="E10" s="53"/>
      <c r="F10" s="54">
        <f>'RAB 2.1.12'!Q31</f>
        <v>2499000</v>
      </c>
      <c r="J10" s="50"/>
    </row>
    <row r="11" spans="1:11" s="33" customFormat="1" ht="12.75">
      <c r="A11" s="55">
        <v>0.3</v>
      </c>
      <c r="B11" s="50">
        <f>A11*B13</f>
        <v>306793858.5</v>
      </c>
      <c r="C11" s="54" t="str">
        <f>'RAB 2.1.13'!J7</f>
        <v>2.1.13  Penyusunan APBDesa</v>
      </c>
      <c r="D11" s="53"/>
      <c r="E11" s="53">
        <f>'RAB 2.1.13'!Q34</f>
        <v>3061500</v>
      </c>
      <c r="J11" s="50">
        <f>E22</f>
        <v>7680000</v>
      </c>
    </row>
    <row r="12" spans="1:11" s="33" customFormat="1" ht="12.75">
      <c r="A12" s="55"/>
      <c r="B12" s="50"/>
      <c r="C12" s="54" t="str">
        <f>'RAB 2.1.14 '!J7</f>
        <v>2.1.14  Penyusunan Laporan Pertanggungjawaban Kepala Desa</v>
      </c>
      <c r="D12" s="53"/>
      <c r="E12" s="53"/>
      <c r="F12" s="54">
        <f>'RAB 2.1.14 '!Q31</f>
        <v>2015000</v>
      </c>
      <c r="J12" s="50">
        <f>F12</f>
        <v>2015000</v>
      </c>
    </row>
    <row r="13" spans="1:11" s="33" customFormat="1" ht="12.75">
      <c r="A13" s="55"/>
      <c r="B13" s="54">
        <f>SUM(B3+B4+B8)</f>
        <v>1022646195</v>
      </c>
      <c r="C13" s="54" t="str">
        <f>'RAB 2.1.15'!J7</f>
        <v>2.1.15  Penyusunan Peraturan Desa</v>
      </c>
      <c r="D13" s="53"/>
      <c r="E13" s="53">
        <f>'RAB 2.1.15'!Q34</f>
        <v>1233750</v>
      </c>
      <c r="J13" s="54">
        <f>F26</f>
        <v>6900000</v>
      </c>
    </row>
    <row r="14" spans="1:11" s="33" customFormat="1" ht="12.75">
      <c r="C14" s="33" t="str">
        <f>'RAB 2.1.16'!J7</f>
        <v>2.1.16  Pemilihan Kepala Desa</v>
      </c>
      <c r="D14" s="53"/>
      <c r="E14" s="53">
        <v>0</v>
      </c>
      <c r="F14" s="53">
        <v>0</v>
      </c>
      <c r="H14" s="54">
        <f>'RAB 2.1.16'!Q36</f>
        <v>10000000</v>
      </c>
      <c r="J14" s="54">
        <f>H23</f>
        <v>2663000</v>
      </c>
    </row>
    <row r="15" spans="1:11" s="33" customFormat="1" ht="12.75">
      <c r="C15" s="54" t="str">
        <f>'RAB 2.2.1.'!L7</f>
        <v>2.2.1 Pembangunan/perbaikan Saluran Irigasi</v>
      </c>
      <c r="D15" s="53"/>
      <c r="E15" s="53"/>
      <c r="F15" s="53"/>
      <c r="H15" s="54"/>
      <c r="I15" s="54">
        <f>'RAB 2.2.1.'!S26</f>
        <v>63770000</v>
      </c>
      <c r="J15" s="54"/>
    </row>
    <row r="16" spans="1:11" s="33" customFormat="1" ht="12.75">
      <c r="C16" s="33" t="str">
        <f>'RAB 2.2.3...'!L7</f>
        <v>2.2.3  Rehab. Jalan Desa (Rabat Beton)</v>
      </c>
      <c r="D16" s="53"/>
      <c r="E16" s="53">
        <f t="shared" ref="E16:F31" si="0">SUM(A16:D16)</f>
        <v>0</v>
      </c>
      <c r="F16" s="53">
        <f t="shared" si="0"/>
        <v>0</v>
      </c>
      <c r="I16" s="54">
        <f>'RAB 2.2.3...'!S38</f>
        <v>257698500</v>
      </c>
      <c r="J16" s="54">
        <f>H24</f>
        <v>10980000</v>
      </c>
    </row>
    <row r="17" spans="3:10" s="33" customFormat="1" ht="12.75">
      <c r="C17" s="33" t="str">
        <f>'RAB 2.2.5'!L6</f>
        <v>2.2.5  Pengadaan Sarana dan Prasarana Air Bersih</v>
      </c>
      <c r="D17" s="53"/>
      <c r="E17" s="53">
        <f t="shared" si="0"/>
        <v>0</v>
      </c>
      <c r="F17" s="53">
        <f t="shared" si="0"/>
        <v>0</v>
      </c>
      <c r="H17" s="54">
        <v>0</v>
      </c>
      <c r="J17" s="54">
        <f>H25</f>
        <v>2945700</v>
      </c>
    </row>
    <row r="18" spans="3:10" s="33" customFormat="1" ht="12.75">
      <c r="C18" s="33" t="str">
        <f>'RAB 2.2.6'!L6</f>
        <v>2.2.6  Pembangunan /Rehab. Posyandu</v>
      </c>
      <c r="D18" s="53"/>
      <c r="E18" s="53">
        <f t="shared" si="0"/>
        <v>0</v>
      </c>
      <c r="F18" s="53">
        <f t="shared" si="0"/>
        <v>0</v>
      </c>
      <c r="I18" s="54">
        <f>'RAB 2.2.6'!S65</f>
        <v>23912250</v>
      </c>
      <c r="J18" s="54">
        <f>G2</f>
        <v>10913649</v>
      </c>
    </row>
    <row r="19" spans="3:10" s="33" customFormat="1" ht="12.75">
      <c r="C19" s="33" t="str">
        <f>'RAB 2.2.7'!J7</f>
        <v>2.2.7  Pembinaan Lembaga Ekonomi Desa (BUMDes,USP, dll)</v>
      </c>
      <c r="D19" s="53"/>
      <c r="E19" s="53">
        <f t="shared" si="0"/>
        <v>0</v>
      </c>
      <c r="F19" s="53">
        <f t="shared" si="0"/>
        <v>0</v>
      </c>
      <c r="H19" s="54">
        <f>'RAB 2.2.7'!Q43</f>
        <v>18636500</v>
      </c>
    </row>
    <row r="20" spans="3:10" s="33" customFormat="1" ht="12.75">
      <c r="C20" s="33" t="str">
        <f>'RAB 2.2.15'!L6</f>
        <v>2.2.15  Pembangunan /Rehab Balai Desa/Gedung Serba Guna</v>
      </c>
      <c r="D20" s="53"/>
      <c r="E20" s="53">
        <f t="shared" si="0"/>
        <v>0</v>
      </c>
      <c r="F20" s="53">
        <f t="shared" si="0"/>
        <v>0</v>
      </c>
      <c r="I20" s="54">
        <f>'RAB 2.2.15'!S65</f>
        <v>171919050.40000001</v>
      </c>
    </row>
    <row r="21" spans="3:10" s="33" customFormat="1" ht="12.75">
      <c r="C21" s="33" t="str">
        <f>'RAB 2.2.16'!L7</f>
        <v>2.2.16  Pembangunan /Rehab Gedung Taman Kanak-Kanan (TK)</v>
      </c>
      <c r="D21" s="53"/>
      <c r="E21" s="53">
        <f t="shared" si="0"/>
        <v>0</v>
      </c>
      <c r="F21" s="53">
        <f t="shared" si="0"/>
        <v>0</v>
      </c>
      <c r="I21" s="54">
        <f>'RAB 2.2.16'!S94</f>
        <v>118467200</v>
      </c>
    </row>
    <row r="22" spans="3:10" s="33" customFormat="1" ht="12.75">
      <c r="C22" s="33" t="str">
        <f>'RAB 2.3.1OKE'!J6</f>
        <v>2.3.1  Pembinaan Ketentraman dan Ketertiban Desa</v>
      </c>
      <c r="D22" s="53"/>
      <c r="E22" s="53">
        <f>'RAB 2.3.1OKE'!Q21</f>
        <v>7680000</v>
      </c>
      <c r="F22" s="53">
        <v>0</v>
      </c>
    </row>
    <row r="23" spans="3:10" s="33" customFormat="1" ht="12.75">
      <c r="C23" s="33" t="str">
        <f>'RAB 2.3.2 OKE'!J6</f>
        <v>2.3.2  Pembinaan PKK Desa</v>
      </c>
      <c r="D23" s="53"/>
      <c r="E23" s="53">
        <f t="shared" si="0"/>
        <v>0</v>
      </c>
      <c r="F23" s="53">
        <f t="shared" si="0"/>
        <v>0</v>
      </c>
      <c r="H23" s="54">
        <f>'RAB 2.3.2 OKE'!Q34</f>
        <v>2663000</v>
      </c>
    </row>
    <row r="24" spans="3:10" s="33" customFormat="1" ht="12.75">
      <c r="C24" s="33" t="str">
        <f>'RAB 2.3.4 OKE'!J6</f>
        <v>2.3.4  Pembinaan Kagamaan</v>
      </c>
      <c r="D24" s="53"/>
      <c r="E24" s="53">
        <f t="shared" si="0"/>
        <v>0</v>
      </c>
      <c r="F24" s="53">
        <f t="shared" si="0"/>
        <v>0</v>
      </c>
      <c r="H24" s="54">
        <f>'RAB 2.3.4 OKE'!Q15</f>
        <v>10980000</v>
      </c>
    </row>
    <row r="25" spans="3:10" s="33" customFormat="1" ht="12.75">
      <c r="C25" s="33" t="str">
        <f>'RAB 2.3.6'!J6</f>
        <v>2.3.6  Pembinaan Keolahragaan</v>
      </c>
      <c r="D25" s="53"/>
      <c r="E25" s="53">
        <f t="shared" si="0"/>
        <v>0</v>
      </c>
      <c r="F25" s="53">
        <f t="shared" si="0"/>
        <v>0</v>
      </c>
      <c r="H25" s="54">
        <f>'RAB 2.3.6'!Q24</f>
        <v>2945700</v>
      </c>
    </row>
    <row r="26" spans="3:10" s="33" customFormat="1" ht="12.75">
      <c r="C26" s="33" t="str">
        <f>'RAB 2.3.8 OKE '!J7</f>
        <v>2.3.8  Pembinaan LPMD</v>
      </c>
      <c r="D26" s="53"/>
      <c r="E26" s="53">
        <f t="shared" si="0"/>
        <v>0</v>
      </c>
      <c r="F26" s="54">
        <f>'RAB 2.3.8 OKE '!Q24</f>
        <v>6900000</v>
      </c>
    </row>
    <row r="27" spans="3:10" s="33" customFormat="1" ht="12.75">
      <c r="C27" s="33" t="str">
        <f>'RAB 2.3.9 OKE'!J7</f>
        <v>2.3.9  Pembinaan Kader Posyandu</v>
      </c>
      <c r="D27" s="53"/>
      <c r="E27" s="53">
        <f t="shared" si="0"/>
        <v>0</v>
      </c>
      <c r="F27" s="53">
        <f t="shared" si="0"/>
        <v>0</v>
      </c>
      <c r="H27" s="54">
        <f>'RAB 2.3.9 OKE'!Q24</f>
        <v>7800000</v>
      </c>
    </row>
    <row r="28" spans="3:10" s="33" customFormat="1" ht="12.75">
      <c r="C28" s="33" t="str">
        <f>'RAB 2.4.7 OKE'!J7</f>
        <v>2.4.7 Pendidikan, pelatihan, dan penyuluhan bagi aparat desa</v>
      </c>
      <c r="D28" s="53"/>
      <c r="E28" s="53">
        <f t="shared" si="0"/>
        <v>0</v>
      </c>
      <c r="F28" s="53">
        <f t="shared" si="0"/>
        <v>0</v>
      </c>
      <c r="I28" s="54">
        <f>'RAB 2.4.7 OKE'!Q21</f>
        <v>6000000</v>
      </c>
    </row>
    <row r="29" spans="3:10" s="33" customFormat="1" ht="12.75">
      <c r="C29" s="33" t="e">
        <f>#REF!</f>
        <v>#REF!</v>
      </c>
      <c r="D29" s="53" t="e">
        <f>#REF!</f>
        <v>#REF!</v>
      </c>
      <c r="E29" s="53"/>
      <c r="F29" s="53"/>
      <c r="I29" s="54"/>
    </row>
    <row r="30" spans="3:10" s="33" customFormat="1" ht="12.75">
      <c r="C30" s="33" t="str">
        <f>'RAB 2.4.13 OKE'!J7</f>
        <v>2.4.13 Peningkatan Kesehatan Masyarakat/Panrita Siaga Aktif</v>
      </c>
      <c r="D30" s="53"/>
      <c r="E30" s="53"/>
      <c r="F30" s="53"/>
      <c r="H30" s="54">
        <f>'RAB 2.4.13 OKE'!Q52</f>
        <v>68098000</v>
      </c>
      <c r="I30" s="54"/>
    </row>
    <row r="31" spans="3:10" s="33" customFormat="1" ht="12.75">
      <c r="D31" s="53"/>
      <c r="E31" s="53">
        <f t="shared" si="0"/>
        <v>0</v>
      </c>
      <c r="F31" s="53">
        <f t="shared" si="0"/>
        <v>0</v>
      </c>
    </row>
    <row r="32" spans="3:10" s="33" customFormat="1" ht="12.75">
      <c r="D32" s="54" t="e">
        <f t="shared" ref="D32:J32" si="1">SUM(D2:D31)</f>
        <v>#REF!</v>
      </c>
      <c r="E32" s="54">
        <f t="shared" si="1"/>
        <v>14951750</v>
      </c>
      <c r="F32" s="54">
        <f t="shared" si="1"/>
        <v>11414000</v>
      </c>
      <c r="G32" s="54">
        <f t="shared" si="1"/>
        <v>10913649</v>
      </c>
      <c r="H32" s="54">
        <f>SUM(H2:H31)</f>
        <v>364483674</v>
      </c>
      <c r="I32" s="115">
        <f>SUM(I2:I31)</f>
        <v>641767000.39999998</v>
      </c>
      <c r="J32" s="54">
        <f t="shared" si="1"/>
        <v>289729573</v>
      </c>
    </row>
    <row r="33" spans="2:9" s="33" customFormat="1" ht="12.75">
      <c r="D33" s="54" t="e">
        <f>D32-B2</f>
        <v>#REF!</v>
      </c>
      <c r="E33" s="54">
        <f>B5-E32</f>
        <v>-567000</v>
      </c>
      <c r="F33" s="54">
        <f>B6-F32</f>
        <v>-10</v>
      </c>
      <c r="G33" s="54">
        <f>B7-G32</f>
        <v>0</v>
      </c>
      <c r="H33" s="50">
        <f>B8-H32</f>
        <v>-20316868</v>
      </c>
      <c r="I33" s="54">
        <f>B3-I32</f>
        <v>-0.39999997615814209</v>
      </c>
    </row>
    <row r="34" spans="2:9" s="33" customFormat="1" ht="12.75">
      <c r="I34" s="54">
        <f>F34+F16</f>
        <v>0</v>
      </c>
    </row>
    <row r="35" spans="2:9" s="33" customFormat="1" ht="12.75"/>
    <row r="36" spans="2:9" s="33" customFormat="1" ht="12.75">
      <c r="B36" s="50">
        <f>B8*70%</f>
        <v>240916764.19999999</v>
      </c>
    </row>
    <row r="37" spans="2:9" s="33" customFormat="1" ht="12.75"/>
    <row r="38" spans="2:9" s="33" customFormat="1" ht="12.75">
      <c r="B38" s="54">
        <f>B8-'RAB 2.1.1OKE'!R17</f>
        <v>249080406</v>
      </c>
    </row>
    <row r="39" spans="2:9" s="33" customFormat="1" ht="12.75">
      <c r="B39" s="116">
        <f>B38*70%</f>
        <v>174356284.19999999</v>
      </c>
    </row>
    <row r="40" spans="2:9" s="33" customFormat="1" ht="12.75"/>
    <row r="41" spans="2:9" s="33" customFormat="1" ht="12.75"/>
    <row r="42" spans="2:9" s="33" customFormat="1" ht="12.75"/>
    <row r="43" spans="2:9" s="33" customFormat="1" ht="12.75"/>
    <row r="44" spans="2:9" s="33" customFormat="1" ht="12.75"/>
    <row r="45" spans="2:9" s="33" customFormat="1" ht="12.75"/>
    <row r="46" spans="2:9" s="33" customFormat="1" ht="12.75"/>
    <row r="47" spans="2:9" s="33" customFormat="1" ht="12.75"/>
    <row r="48" spans="2:9" s="33" customFormat="1" ht="12.75"/>
    <row r="49" s="33" customFormat="1" ht="12.75"/>
    <row r="50" s="33" customFormat="1" ht="12.75"/>
    <row r="51" s="33" customFormat="1" ht="12.75"/>
    <row r="52" s="33" customFormat="1" ht="12.75"/>
    <row r="53" s="33" customFormat="1" ht="12.75"/>
    <row r="54" s="33" customFormat="1" ht="12.75"/>
    <row r="55" s="33" customFormat="1" ht="12.75"/>
    <row r="56" s="33" customFormat="1" ht="12.75"/>
    <row r="57" s="33" customFormat="1" ht="12.75"/>
    <row r="58" s="33" customFormat="1" ht="12.75"/>
    <row r="59" s="33" customFormat="1" ht="12.75"/>
    <row r="60" s="33" customFormat="1" ht="12.75"/>
    <row r="61" s="33" customFormat="1" ht="12.75"/>
    <row r="62" s="33" customFormat="1" ht="12.75"/>
    <row r="63" s="33" customFormat="1" ht="12.75"/>
    <row r="64" s="33" customFormat="1" ht="12.75"/>
    <row r="65" s="33" customFormat="1" ht="12.75"/>
    <row r="66" s="33" customFormat="1" ht="12.75"/>
    <row r="67" s="33" customFormat="1" ht="12.75"/>
    <row r="68" s="33" customFormat="1" ht="12.75"/>
    <row r="69" s="33" customFormat="1" ht="12.75"/>
    <row r="70" s="33" customFormat="1" ht="12.75"/>
    <row r="71" s="33" customFormat="1" ht="12.75"/>
    <row r="72" s="33" customFormat="1" ht="12.75"/>
    <row r="73" s="33" customFormat="1" ht="12.75"/>
    <row r="74" s="33" customFormat="1" ht="12.75"/>
    <row r="75" s="33" customFormat="1" ht="12.75"/>
    <row r="76" s="33" customFormat="1" ht="12.75"/>
    <row r="77" s="33" customFormat="1" ht="12.75"/>
    <row r="78" s="33" customFormat="1" ht="12.75"/>
    <row r="79" s="33" customFormat="1" ht="12.75"/>
    <row r="80" s="33" customFormat="1" ht="12.75"/>
    <row r="81" s="33" customFormat="1" ht="12.75"/>
    <row r="82" s="33" customFormat="1" ht="12.75"/>
    <row r="83" s="33" customFormat="1" ht="12.75"/>
    <row r="84" s="33" customFormat="1" ht="12.75"/>
    <row r="85" s="33" customFormat="1" ht="12.75"/>
    <row r="86" s="33" customFormat="1" ht="12.75"/>
    <row r="87" s="33" customFormat="1" ht="12.75"/>
    <row r="88" s="33" customFormat="1" ht="12.75"/>
    <row r="89" s="33" customFormat="1" ht="12.75"/>
    <row r="90" s="33" customFormat="1" ht="12.75"/>
    <row r="91" s="33" customFormat="1" ht="12.75"/>
    <row r="92" s="33" customFormat="1" ht="12.75"/>
    <row r="93" s="33" customFormat="1" ht="12.75"/>
    <row r="94" s="33" customFormat="1" ht="12.75"/>
    <row r="95" s="33" customFormat="1" ht="12.75"/>
    <row r="96" s="33" customFormat="1" ht="12.75"/>
    <row r="97" s="33" customFormat="1" ht="12.75"/>
    <row r="98" s="33" customFormat="1" ht="12.75"/>
    <row r="99" s="33" customFormat="1" ht="12.75"/>
    <row r="100" s="33" customFormat="1" ht="12.75"/>
    <row r="101" s="33" customFormat="1" ht="12.75"/>
    <row r="102" s="33" customFormat="1" ht="12.75"/>
    <row r="103" s="33" customFormat="1" ht="12.75"/>
    <row r="104" s="33" customFormat="1" ht="12.75"/>
    <row r="105" s="33" customFormat="1" ht="12.75"/>
    <row r="106" s="33" customFormat="1" ht="12.75"/>
    <row r="107" s="33" customFormat="1" ht="12.75"/>
    <row r="108" s="33" customFormat="1" ht="12.75"/>
    <row r="109" s="33" customFormat="1" ht="12.75"/>
    <row r="110" s="33" customFormat="1" ht="12.75"/>
    <row r="111" s="33" customFormat="1" ht="12.75"/>
    <row r="112" s="33" customFormat="1" ht="12.75"/>
    <row r="113" s="33" customFormat="1" ht="12.75"/>
    <row r="114" s="33" customFormat="1" ht="12.75"/>
    <row r="115" s="33" customFormat="1" ht="12.75"/>
    <row r="116" s="33" customFormat="1" ht="12.75"/>
    <row r="117" s="33" customFormat="1" ht="12.75"/>
    <row r="118" s="33" customFormat="1" ht="12.75"/>
    <row r="119" s="33" customFormat="1" ht="12.75"/>
    <row r="120" s="33" customFormat="1" ht="12.75"/>
    <row r="121" s="33" customFormat="1" ht="12.75"/>
    <row r="122" s="33" customFormat="1" ht="12.75"/>
    <row r="123" s="33" customFormat="1" ht="12.75"/>
    <row r="124" s="33" customFormat="1" ht="12.75"/>
    <row r="125" s="33" customFormat="1" ht="12.75"/>
    <row r="126" s="33" customFormat="1" ht="12.75"/>
    <row r="127" s="33" customFormat="1" ht="12.75"/>
    <row r="128" s="33" customFormat="1" ht="12.75"/>
    <row r="129" s="33" customFormat="1" ht="12.75"/>
    <row r="130" s="33" customFormat="1" ht="12.75"/>
    <row r="131" s="33" customFormat="1" ht="12.75"/>
    <row r="132" s="33" customFormat="1" ht="12.75"/>
    <row r="133" s="33" customFormat="1" ht="12.75"/>
    <row r="134" s="33" customFormat="1" ht="12.75"/>
    <row r="135" s="33" customFormat="1" ht="12.75"/>
    <row r="136" s="33" customFormat="1" ht="12.75"/>
    <row r="137" s="33" customFormat="1" ht="12.75"/>
    <row r="138" s="33" customFormat="1" ht="12.75"/>
    <row r="139" s="33" customFormat="1" ht="12.75"/>
    <row r="140" s="33" customFormat="1" ht="12.75"/>
    <row r="141" s="33" customFormat="1" ht="12.75"/>
    <row r="142" s="33" customFormat="1" ht="12.75"/>
    <row r="143" s="33" customFormat="1" ht="12.75"/>
    <row r="144" s="33" customFormat="1" ht="12.75"/>
    <row r="145" s="33" customFormat="1" ht="12.75"/>
    <row r="146" s="33" customFormat="1" ht="12.75"/>
    <row r="147" s="33" customFormat="1" ht="12.75"/>
    <row r="148" s="33" customFormat="1" ht="12.75"/>
    <row r="149" s="33" customFormat="1" ht="12.75"/>
    <row r="150" s="33" customFormat="1" ht="12.75"/>
    <row r="151" s="33" customFormat="1" ht="12.75"/>
    <row r="152" s="33" customFormat="1" ht="12.75"/>
    <row r="153" s="33" customFormat="1" ht="12.75"/>
    <row r="154" s="33" customFormat="1" ht="12.75"/>
    <row r="155" s="33" customFormat="1" ht="12.75"/>
    <row r="156" s="33" customFormat="1" ht="12.75"/>
    <row r="157" s="33" customFormat="1" ht="12.75"/>
    <row r="158" s="33" customFormat="1" ht="12.75"/>
    <row r="159" s="33" customFormat="1" ht="12.75"/>
    <row r="160" s="33" customFormat="1" ht="12.75"/>
    <row r="161" s="33" customFormat="1" ht="12.75"/>
    <row r="162" s="33" customFormat="1" ht="12.75"/>
    <row r="163" s="33" customFormat="1" ht="12.75"/>
    <row r="164" s="33" customFormat="1" ht="12.75"/>
    <row r="165" s="33" customFormat="1" ht="12.75"/>
    <row r="166" s="33" customFormat="1" ht="12.75"/>
    <row r="167" s="33" customFormat="1" ht="12.75"/>
    <row r="168" s="33" customFormat="1" ht="12.75"/>
    <row r="169" s="33" customFormat="1" ht="12.75"/>
    <row r="170" s="33" customFormat="1" ht="12.75"/>
    <row r="171" s="33" customFormat="1" ht="12.75"/>
    <row r="172" s="33" customFormat="1" ht="12.75"/>
    <row r="173" s="33" customFormat="1" ht="12.75"/>
    <row r="174" s="33" customFormat="1" ht="12.75"/>
    <row r="175" s="33" customFormat="1" ht="12.75"/>
    <row r="176" s="33" customFormat="1" ht="12.75"/>
    <row r="177" s="33" customFormat="1" ht="12.75"/>
    <row r="178" s="33" customFormat="1" ht="12.75"/>
    <row r="179" s="33" customFormat="1" ht="12.75"/>
    <row r="180" s="33" customFormat="1" ht="12.75"/>
    <row r="181" s="33" customFormat="1" ht="12.75"/>
    <row r="182" s="33" customFormat="1" ht="12.75"/>
    <row r="183" s="33" customFormat="1" ht="12.75"/>
    <row r="184" s="33" customFormat="1" ht="12.75"/>
    <row r="185" s="33" customFormat="1" ht="12.75"/>
    <row r="186" s="33" customFormat="1" ht="12.75"/>
    <row r="187" s="33" customFormat="1" ht="12.75"/>
    <row r="188" s="33" customFormat="1" ht="12.75"/>
    <row r="189" s="33" customFormat="1" ht="12.75"/>
    <row r="190" s="33" customFormat="1" ht="12.75"/>
    <row r="191" s="33" customFormat="1" ht="12.75"/>
    <row r="192" s="33" customFormat="1" ht="12.75"/>
    <row r="193" s="33" customFormat="1" ht="12.75"/>
    <row r="194" s="33" customFormat="1" ht="12.75"/>
    <row r="195" s="33" customFormat="1" ht="12.75"/>
    <row r="196" s="33" customFormat="1" ht="12.75"/>
    <row r="197" s="33" customFormat="1" ht="12.75"/>
    <row r="198" s="33" customFormat="1" ht="12.75"/>
    <row r="199" s="33" customFormat="1" ht="12.75"/>
    <row r="200" s="33" customFormat="1" ht="12.75"/>
    <row r="201" s="33" customFormat="1" ht="12.75"/>
    <row r="202" s="33" customFormat="1" ht="12.75"/>
    <row r="203" s="33" customFormat="1" ht="12.75"/>
    <row r="204" s="33" customFormat="1" ht="12.75"/>
    <row r="205" s="33" customFormat="1" ht="12.75"/>
    <row r="206" s="33" customFormat="1" ht="12.75"/>
    <row r="207" s="33" customFormat="1" ht="12.75"/>
    <row r="208" s="33" customFormat="1" ht="12.75"/>
    <row r="209" s="33" customFormat="1" ht="12.75"/>
    <row r="210" s="33" customFormat="1" ht="12.75"/>
    <row r="211" s="33" customFormat="1" ht="12.75"/>
    <row r="212" s="33" customFormat="1" ht="12.75"/>
    <row r="213" s="33" customFormat="1" ht="12.75"/>
    <row r="214" s="33" customFormat="1" ht="12.75"/>
    <row r="215" s="33" customFormat="1" ht="12.75"/>
    <row r="216" s="33" customFormat="1" ht="12.75"/>
    <row r="217" s="33" customFormat="1" ht="12.75"/>
    <row r="218" s="33" customFormat="1" ht="12.75"/>
    <row r="219" s="33" customFormat="1" ht="12.75"/>
    <row r="220" s="33" customFormat="1" ht="12.75"/>
    <row r="221" s="33" customFormat="1" ht="12.75"/>
    <row r="222" s="33" customFormat="1" ht="12.75"/>
    <row r="223" s="33" customFormat="1" ht="12.75"/>
    <row r="224" s="33" customFormat="1" ht="12.75"/>
    <row r="225" s="33" customFormat="1" ht="12.75"/>
    <row r="226" s="33" customFormat="1" ht="12.75"/>
    <row r="227" s="33" customFormat="1" ht="12.75"/>
    <row r="228" s="33" customFormat="1" ht="12.75"/>
    <row r="229" s="33" customFormat="1" ht="12.75"/>
    <row r="230" s="33" customFormat="1" ht="12.75"/>
    <row r="231" s="33" customFormat="1" ht="12.75"/>
    <row r="232" s="33" customFormat="1" ht="12.75"/>
    <row r="233" s="33" customFormat="1" ht="12.75"/>
    <row r="234" s="33" customFormat="1" ht="12.75"/>
    <row r="235" s="33" customFormat="1" ht="12.75"/>
    <row r="236" s="33" customFormat="1" ht="12.75"/>
    <row r="237" s="33" customFormat="1" ht="12.75"/>
    <row r="238" s="33" customFormat="1" ht="12.75"/>
    <row r="239" s="33" customFormat="1" ht="12.75"/>
    <row r="240" s="33" customFormat="1" ht="12.75"/>
    <row r="241" s="33" customFormat="1" ht="12.75"/>
    <row r="242" s="33" customFormat="1" ht="12.75"/>
    <row r="243" s="33" customFormat="1" ht="12.75"/>
    <row r="244" s="33" customFormat="1" ht="12.75"/>
    <row r="245" s="33" customFormat="1" ht="12.75"/>
    <row r="246" s="33" customFormat="1" ht="12.75"/>
    <row r="247" s="33" customFormat="1" ht="12.75"/>
    <row r="248" s="33" customFormat="1" ht="12.75"/>
    <row r="249" s="33" customFormat="1" ht="12.75"/>
    <row r="250" s="33" customFormat="1" ht="12.75"/>
    <row r="251" s="33" customFormat="1" ht="12.75"/>
    <row r="252" s="33" customFormat="1" ht="12.75"/>
    <row r="253" s="33" customFormat="1" ht="12.75"/>
    <row r="254" s="33" customFormat="1" ht="12.75"/>
    <row r="255" s="33" customFormat="1" ht="12.75"/>
    <row r="256" s="33" customFormat="1" ht="12.75"/>
    <row r="257" s="33" customFormat="1" ht="12.75"/>
    <row r="258" s="33" customFormat="1" ht="12.75"/>
    <row r="259" s="33" customFormat="1" ht="12.75"/>
    <row r="260" s="33" customFormat="1" ht="12.75"/>
    <row r="261" s="33" customFormat="1" ht="12.75"/>
    <row r="262" s="33" customFormat="1" ht="12.75"/>
    <row r="263" s="33" customFormat="1" ht="12.75"/>
    <row r="264" s="33" customFormat="1" ht="12.75"/>
    <row r="265" s="33" customFormat="1" ht="12.75"/>
    <row r="266" s="33" customFormat="1" ht="12.75"/>
    <row r="267" s="33" customFormat="1" ht="12.75"/>
    <row r="268" s="33" customFormat="1" ht="12.75"/>
    <row r="269" s="33" customFormat="1" ht="12.75"/>
    <row r="270" s="33" customFormat="1" ht="12.75"/>
    <row r="271" s="33" customFormat="1" ht="12.75"/>
    <row r="272" s="33" customFormat="1" ht="12.75"/>
    <row r="273" s="33" customFormat="1" ht="12.75"/>
    <row r="274" s="33" customFormat="1" ht="12.75"/>
    <row r="275" s="33" customFormat="1" ht="12.75"/>
    <row r="276" s="33" customFormat="1" ht="12.75"/>
    <row r="277" s="33" customFormat="1" ht="12.75"/>
    <row r="278" s="33" customFormat="1" ht="12.75"/>
    <row r="279" s="33" customFormat="1" ht="12.75"/>
    <row r="280" s="33" customFormat="1" ht="12.75"/>
    <row r="281" s="33" customFormat="1" ht="12.75"/>
    <row r="282" s="33" customFormat="1" ht="12.75"/>
    <row r="283" s="33" customFormat="1" ht="12.75"/>
    <row r="284" s="33" customFormat="1" ht="12.75"/>
    <row r="285" s="33" customFormat="1" ht="12.75"/>
    <row r="286" s="33" customFormat="1" ht="12.75"/>
    <row r="287" s="33" customFormat="1" ht="12.75"/>
    <row r="288" s="33" customFormat="1" ht="12.75"/>
    <row r="289" s="33" customFormat="1" ht="12.75"/>
    <row r="290" s="33" customFormat="1" ht="12.75"/>
    <row r="291" s="33" customFormat="1" ht="12.75"/>
    <row r="292" s="33" customFormat="1" ht="12.75"/>
    <row r="293" s="33" customFormat="1" ht="12.75"/>
    <row r="294" s="33" customFormat="1" ht="12.75"/>
    <row r="295" s="33" customFormat="1" ht="12.75"/>
    <row r="296" s="33" customFormat="1" ht="12.75"/>
    <row r="297" s="33" customFormat="1" ht="12.75"/>
    <row r="298" s="33" customFormat="1" ht="12.75"/>
    <row r="299" s="33" customFormat="1" ht="12.75"/>
    <row r="300" s="33" customFormat="1" ht="12.75"/>
    <row r="301" s="33" customFormat="1" ht="12.75"/>
    <row r="302" s="33" customFormat="1" ht="12.75"/>
    <row r="303" s="33" customFormat="1" ht="12.75"/>
    <row r="304" s="33" customFormat="1" ht="12.75"/>
    <row r="305" s="33" customFormat="1" ht="12.75"/>
    <row r="306" s="33" customFormat="1" ht="12.75"/>
    <row r="307" s="33" customFormat="1" ht="12.75"/>
    <row r="308" s="33" customFormat="1" ht="12.75"/>
    <row r="309" s="33" customFormat="1" ht="12.75"/>
    <row r="310" s="33" customFormat="1" ht="12.75"/>
    <row r="311" s="33" customFormat="1" ht="12.75"/>
    <row r="312" s="33" customFormat="1" ht="12.75"/>
    <row r="313" s="33" customFormat="1" ht="12.75"/>
    <row r="314" s="33" customFormat="1" ht="12.75"/>
    <row r="315" s="33" customFormat="1" ht="12.75"/>
    <row r="316" s="33" customFormat="1" ht="12.75"/>
    <row r="317" s="33" customFormat="1" ht="12.75"/>
    <row r="318" s="33" customFormat="1" ht="12.75"/>
    <row r="319" s="33" customFormat="1" ht="12.75"/>
    <row r="320" s="33" customFormat="1" ht="12.75"/>
    <row r="321" s="33" customFormat="1" ht="12.75"/>
    <row r="322" s="33" customFormat="1" ht="12.75"/>
    <row r="323" s="33" customFormat="1" ht="12.75"/>
    <row r="324" s="33" customFormat="1" ht="12.75"/>
    <row r="325" s="33" customFormat="1" ht="12.75"/>
    <row r="326" s="33" customFormat="1" ht="12.75"/>
    <row r="327" s="33" customFormat="1" ht="12.75"/>
    <row r="328" s="33" customFormat="1" ht="12.75"/>
    <row r="329" s="33" customFormat="1" ht="12.75"/>
    <row r="330" s="33" customFormat="1" ht="12.75"/>
    <row r="331" s="33" customFormat="1" ht="12.75"/>
    <row r="332" s="33" customFormat="1" ht="12.75"/>
    <row r="333" s="33" customFormat="1" ht="12.75"/>
    <row r="334" s="33" customFormat="1" ht="12.75"/>
    <row r="335" s="33" customFormat="1" ht="12.75"/>
    <row r="336" s="33" customFormat="1" ht="12.75"/>
    <row r="337" s="33" customFormat="1" ht="12.75"/>
    <row r="338" s="33" customFormat="1" ht="12.75"/>
    <row r="339" s="33" customFormat="1" ht="12.75"/>
    <row r="340" s="33" customFormat="1" ht="12.75"/>
    <row r="341" s="33" customFormat="1" ht="12.75"/>
    <row r="342" s="33" customFormat="1" ht="12.75"/>
    <row r="343" s="33" customFormat="1" ht="12.75"/>
    <row r="344" s="33" customFormat="1" ht="12.75"/>
    <row r="345" s="33" customFormat="1" ht="12.75"/>
    <row r="346" s="33" customFormat="1" ht="12.75"/>
    <row r="347" s="33" customFormat="1" ht="12.75"/>
    <row r="348" s="33" customFormat="1" ht="12.75"/>
    <row r="349" s="33" customFormat="1" ht="12.75"/>
    <row r="350" s="33" customFormat="1" ht="12.75"/>
    <row r="351" s="33" customFormat="1" ht="12.75"/>
    <row r="352" s="33" customFormat="1" ht="12.75"/>
    <row r="353" s="33" customFormat="1" ht="12.75"/>
    <row r="354" s="33" customFormat="1" ht="12.75"/>
    <row r="355" s="33" customFormat="1" ht="12.75"/>
    <row r="356" s="33" customFormat="1" ht="12.75"/>
    <row r="357" s="33" customFormat="1" ht="12.75"/>
    <row r="358" s="33" customFormat="1" ht="12.75"/>
    <row r="359" s="33" customFormat="1" ht="12.75"/>
    <row r="360" s="33" customFormat="1" ht="12.75"/>
    <row r="361" s="33" customFormat="1" ht="12.75"/>
    <row r="362" s="33" customFormat="1" ht="12.75"/>
    <row r="363" s="33" customFormat="1" ht="12.75"/>
    <row r="364" s="33" customFormat="1" ht="12.75"/>
    <row r="365" s="33" customFormat="1" ht="12.75"/>
    <row r="366" s="33" customFormat="1" ht="12.75"/>
    <row r="367" s="33" customFormat="1" ht="12.75"/>
    <row r="368" s="33" customFormat="1" ht="12.75"/>
    <row r="369" s="33" customFormat="1" ht="12.75"/>
    <row r="370" s="33" customFormat="1" ht="12.75"/>
    <row r="371" s="33" customFormat="1" ht="12.75"/>
    <row r="372" s="33" customFormat="1" ht="12.75"/>
    <row r="373" s="33" customFormat="1" ht="12.75"/>
    <row r="374" s="33" customFormat="1" ht="12.75"/>
    <row r="375" s="33" customFormat="1" ht="12.75"/>
    <row r="376" s="33" customFormat="1" ht="12.75"/>
    <row r="377" s="33" customFormat="1" ht="12.75"/>
    <row r="378" s="33" customFormat="1" ht="12.75"/>
    <row r="379" s="33" customFormat="1" ht="12.75"/>
    <row r="380" s="33" customFormat="1" ht="12.75"/>
    <row r="381" s="33" customFormat="1" ht="12.75"/>
    <row r="382" s="33" customFormat="1" ht="12.75"/>
    <row r="383" s="33" customFormat="1" ht="12.75"/>
    <row r="384" s="33" customFormat="1" ht="12.75"/>
    <row r="385" s="33" customFormat="1" ht="12.75"/>
    <row r="386" s="33" customFormat="1" ht="12.75"/>
    <row r="387" s="33" customFormat="1" ht="12.75"/>
    <row r="388" s="33" customFormat="1" ht="12.75"/>
    <row r="389" s="33" customFormat="1" ht="12.75"/>
    <row r="390" s="33" customFormat="1" ht="12.75"/>
    <row r="391" s="33" customFormat="1" ht="12.75"/>
    <row r="392" s="33" customFormat="1" ht="12.75"/>
    <row r="393" s="33" customFormat="1" ht="12.75"/>
    <row r="394" s="33" customFormat="1" ht="12.75"/>
    <row r="395" s="33" customFormat="1" ht="12.75"/>
    <row r="396" s="33" customFormat="1" ht="12.75"/>
    <row r="397" s="33" customFormat="1" ht="12.75"/>
    <row r="398" s="33" customFormat="1" ht="12.75"/>
    <row r="399" s="33" customFormat="1" ht="12.75"/>
    <row r="400" s="33" customFormat="1" ht="12.75"/>
    <row r="401" s="33" customFormat="1" ht="12.75"/>
    <row r="402" s="33" customFormat="1" ht="12.75"/>
    <row r="403" s="33" customFormat="1" ht="12.75"/>
    <row r="404" s="33" customFormat="1" ht="12.75"/>
    <row r="405" s="33" customFormat="1" ht="12.75"/>
    <row r="406" s="33" customFormat="1" ht="12.75"/>
    <row r="407" s="33" customFormat="1" ht="12.75"/>
    <row r="408" s="33" customFormat="1" ht="12.75"/>
    <row r="409" s="33" customFormat="1" ht="12.75"/>
    <row r="410" s="33" customFormat="1" ht="12.75"/>
    <row r="411" s="33" customFormat="1" ht="12.75"/>
    <row r="412" s="33" customFormat="1" ht="12.75"/>
    <row r="413" s="33" customFormat="1" ht="12.75"/>
    <row r="414" s="33" customFormat="1" ht="12.75"/>
    <row r="415" s="33" customFormat="1" ht="12.75"/>
    <row r="416" s="33" customFormat="1" ht="12.75"/>
    <row r="417" s="33" customFormat="1" ht="12.75"/>
    <row r="418" s="33" customFormat="1" ht="12.75"/>
    <row r="419" s="33" customFormat="1" ht="12.75"/>
    <row r="420" s="33" customFormat="1" ht="12.75"/>
    <row r="421" s="33" customFormat="1" ht="12.75"/>
    <row r="422" s="33" customFormat="1" ht="12.75"/>
    <row r="423" s="33" customFormat="1" ht="12.75"/>
    <row r="424" s="33" customFormat="1" ht="12.75"/>
    <row r="425" s="33" customFormat="1" ht="12.75"/>
    <row r="426" s="33" customFormat="1" ht="12.75"/>
    <row r="427" s="33" customFormat="1" ht="12.75"/>
    <row r="428" s="33" customFormat="1" ht="12.75"/>
    <row r="429" s="33" customFormat="1" ht="12.75"/>
    <row r="430" s="33" customFormat="1" ht="12.75"/>
    <row r="431" s="33" customFormat="1" ht="12.75"/>
    <row r="432" s="33" customFormat="1" ht="12.75"/>
    <row r="433" s="33" customFormat="1" ht="12.75"/>
    <row r="434" s="33" customFormat="1" ht="12.75"/>
    <row r="435" s="33" customFormat="1" ht="12.75"/>
    <row r="436" s="33" customFormat="1" ht="12.75"/>
    <row r="437" s="33" customFormat="1" ht="12.75"/>
    <row r="438" s="33" customFormat="1" ht="12.75"/>
    <row r="439" s="33" customFormat="1" ht="12.75"/>
    <row r="440" s="33" customFormat="1" ht="12.75"/>
    <row r="441" s="33" customFormat="1" ht="12.75"/>
    <row r="442" s="33" customFormat="1" ht="12.75"/>
    <row r="443" s="33" customFormat="1" ht="12.75"/>
    <row r="444" s="33" customFormat="1" ht="12.75"/>
    <row r="445" s="33" customFormat="1" ht="12.75"/>
    <row r="446" s="33" customFormat="1" ht="12.75"/>
    <row r="447" s="33" customFormat="1" ht="12.75"/>
    <row r="448" s="33" customFormat="1" ht="12.75"/>
    <row r="449" s="33" customFormat="1" ht="12.75"/>
    <row r="450" s="33" customFormat="1" ht="12.75"/>
    <row r="451" s="33" customFormat="1" ht="12.75"/>
    <row r="452" s="33" customFormat="1" ht="12.75"/>
    <row r="453" s="33" customFormat="1" ht="12.75"/>
    <row r="454" s="33" customFormat="1" ht="12.75"/>
    <row r="455" s="33" customFormat="1" ht="12.75"/>
    <row r="456" s="33" customFormat="1" ht="12.75"/>
    <row r="457" s="33" customFormat="1" ht="12.75"/>
    <row r="458" s="33" customFormat="1" ht="12.75"/>
    <row r="459" s="33" customFormat="1" ht="12.75"/>
    <row r="460" s="33" customFormat="1" ht="12.75"/>
    <row r="461" s="33" customFormat="1" ht="12.75"/>
    <row r="462" s="33" customFormat="1" ht="12.75"/>
    <row r="463" s="33" customFormat="1" ht="12.75"/>
    <row r="464" s="33" customFormat="1" ht="12.75"/>
    <row r="465" s="33" customFormat="1" ht="12.75"/>
    <row r="466" s="33" customFormat="1" ht="12.75"/>
    <row r="467" s="33" customFormat="1" ht="12.75"/>
    <row r="468" s="33" customFormat="1" ht="12.75"/>
    <row r="469" s="33" customFormat="1" ht="12.75"/>
    <row r="470" s="33" customFormat="1" ht="12.75"/>
    <row r="471" s="33" customFormat="1" ht="12.75"/>
    <row r="472" s="33" customFormat="1" ht="12.75"/>
    <row r="473" s="33" customFormat="1" ht="12.75"/>
    <row r="474" s="33" customFormat="1" ht="12.75"/>
    <row r="475" s="33" customFormat="1" ht="12.75"/>
    <row r="476" s="33" customFormat="1" ht="12.75"/>
    <row r="477" s="33" customFormat="1" ht="12.75"/>
    <row r="478" s="33" customFormat="1" ht="12.75"/>
    <row r="479" s="33" customFormat="1" ht="12.75"/>
    <row r="480" s="33" customFormat="1" ht="12.75"/>
    <row r="481" s="33" customFormat="1" ht="12.75"/>
    <row r="482" s="33" customFormat="1" ht="12.75"/>
    <row r="483" s="33" customFormat="1" ht="12.75"/>
    <row r="484" s="33" customFormat="1" ht="12.75"/>
    <row r="485" s="33" customFormat="1" ht="12.75"/>
    <row r="486" s="33" customFormat="1" ht="12.75"/>
    <row r="487" s="33" customFormat="1" ht="12.75"/>
    <row r="488" s="33" customFormat="1" ht="12.75"/>
    <row r="489" s="33" customFormat="1" ht="12.75"/>
    <row r="490" s="33" customFormat="1" ht="12.75"/>
    <row r="491" s="33" customFormat="1" ht="12.75"/>
    <row r="492" s="33" customFormat="1" ht="12.75"/>
    <row r="493" s="33" customFormat="1" ht="12.75"/>
    <row r="494" s="33" customFormat="1" ht="12.75"/>
    <row r="495" s="33" customFormat="1" ht="12.75"/>
    <row r="496" s="33" customFormat="1" ht="12.75"/>
    <row r="497" s="33" customFormat="1" ht="12.75"/>
    <row r="498" s="33" customFormat="1" ht="12.75"/>
    <row r="499" s="33" customFormat="1" ht="12.75"/>
    <row r="500" s="33" customFormat="1" ht="12.75"/>
    <row r="501" s="33" customFormat="1" ht="12.75"/>
    <row r="502" s="33" customFormat="1" ht="12.75"/>
    <row r="503" s="33" customFormat="1" ht="12.75"/>
    <row r="504" s="33" customFormat="1" ht="12.75"/>
    <row r="505" s="33" customFormat="1" ht="12.75"/>
    <row r="506" s="33" customFormat="1" ht="12.75"/>
    <row r="507" s="33" customFormat="1" ht="12.75"/>
    <row r="508" s="33" customFormat="1" ht="12.75"/>
    <row r="509" s="33" customFormat="1" ht="12.75"/>
    <row r="510" s="33" customFormat="1" ht="12.75"/>
    <row r="511" s="33" customFormat="1" ht="12.75"/>
    <row r="512" s="33" customFormat="1" ht="12.75"/>
    <row r="513" s="33" customFormat="1" ht="12.75"/>
    <row r="514" s="33" customFormat="1" ht="12.75"/>
    <row r="515" s="33" customFormat="1" ht="12.75"/>
    <row r="516" s="33" customFormat="1" ht="12.75"/>
    <row r="517" s="33" customFormat="1" ht="12.75"/>
    <row r="518" s="33" customFormat="1" ht="12.75"/>
    <row r="519" s="33" customFormat="1" ht="12.75"/>
    <row r="520" s="33" customFormat="1" ht="12.75"/>
    <row r="521" s="33" customFormat="1" ht="12.75"/>
    <row r="522" s="33" customFormat="1" ht="12.75"/>
    <row r="523" s="33" customFormat="1" ht="12.75"/>
    <row r="524" s="33" customFormat="1" ht="12.75"/>
    <row r="525" s="33" customFormat="1" ht="12.75"/>
    <row r="526" s="33" customFormat="1" ht="12.75"/>
    <row r="527" s="33" customFormat="1" ht="12.75"/>
    <row r="528" s="33" customFormat="1" ht="12.75"/>
    <row r="529" s="33" customFormat="1" ht="12.75"/>
    <row r="530" s="33" customFormat="1" ht="12.75"/>
    <row r="531" s="33" customFormat="1" ht="12.75"/>
    <row r="532" s="33" customFormat="1" ht="12.75"/>
    <row r="533" s="33" customFormat="1" ht="12.75"/>
    <row r="534" s="33" customFormat="1" ht="12.75"/>
    <row r="535" s="33" customFormat="1" ht="12.75"/>
    <row r="536" s="33" customFormat="1" ht="12.75"/>
    <row r="537" s="33" customFormat="1" ht="12.75"/>
    <row r="538" s="33" customFormat="1" ht="12.75"/>
    <row r="539" s="33" customFormat="1" ht="12.75"/>
    <row r="540" s="33" customFormat="1" ht="12.75"/>
    <row r="541" s="33" customFormat="1" ht="12.75"/>
    <row r="542" s="33" customFormat="1" ht="12.75"/>
    <row r="543" s="33" customFormat="1" ht="12.75"/>
    <row r="544" s="33" customFormat="1" ht="12.75"/>
    <row r="545" s="33" customFormat="1" ht="12.75"/>
    <row r="546" s="33" customFormat="1" ht="12.75"/>
    <row r="547" s="33" customFormat="1" ht="12.75"/>
    <row r="548" s="33" customFormat="1" ht="12.75"/>
    <row r="549" s="33" customFormat="1" ht="12.75"/>
    <row r="550" s="33" customFormat="1" ht="12.75"/>
    <row r="551" s="33" customFormat="1" ht="12.75"/>
    <row r="552" s="33" customFormat="1" ht="12.75"/>
    <row r="553" s="33" customFormat="1" ht="12.75"/>
    <row r="554" s="33" customFormat="1" ht="12.75"/>
    <row r="555" s="33" customFormat="1" ht="12.75"/>
    <row r="556" s="33" customFormat="1" ht="12.75"/>
    <row r="557" s="33" customFormat="1" ht="12.75"/>
    <row r="558" s="33" customFormat="1" ht="12.75"/>
    <row r="559" s="33" customFormat="1" ht="12.75"/>
    <row r="560" s="33" customFormat="1" ht="12.75"/>
    <row r="561" s="33" customFormat="1" ht="12.75"/>
    <row r="562" s="33" customFormat="1" ht="12.75"/>
    <row r="563" s="33" customFormat="1" ht="12.75"/>
    <row r="564" s="33" customFormat="1" ht="12.75"/>
    <row r="565" s="33" customFormat="1" ht="12.75"/>
    <row r="566" s="33" customFormat="1" ht="12.75"/>
    <row r="567" s="33" customFormat="1" ht="12.75"/>
    <row r="568" s="33" customFormat="1" ht="12.75"/>
    <row r="569" s="33" customFormat="1" ht="12.75"/>
    <row r="570" s="33" customFormat="1" ht="12.75"/>
    <row r="571" s="33" customFormat="1" ht="12.75"/>
    <row r="572" s="33" customFormat="1" ht="12.75"/>
    <row r="573" s="33" customFormat="1" ht="12.75"/>
    <row r="574" s="33" customFormat="1" ht="12.75"/>
    <row r="575" s="33" customFormat="1" ht="12.75"/>
    <row r="576" s="33" customFormat="1" ht="12.75"/>
    <row r="577" s="33" customFormat="1" ht="12.75"/>
    <row r="578" s="33" customFormat="1" ht="12.75"/>
    <row r="579" s="33" customFormat="1" ht="12.75"/>
    <row r="580" s="33" customFormat="1" ht="12.75"/>
    <row r="581" s="33" customFormat="1" ht="12.75"/>
    <row r="582" s="33" customFormat="1" ht="12.75"/>
    <row r="583" s="33" customFormat="1" ht="12.75"/>
    <row r="584" s="33" customFormat="1" ht="12.75"/>
    <row r="585" s="33" customFormat="1" ht="12.75"/>
    <row r="586" s="33" customFormat="1" ht="12.75"/>
    <row r="587" s="33" customFormat="1" ht="12.75"/>
    <row r="588" s="33" customFormat="1" ht="12.75"/>
    <row r="589" s="33" customFormat="1" ht="12.75"/>
    <row r="590" s="33" customFormat="1" ht="12.75"/>
    <row r="591" s="33" customFormat="1" ht="12.75"/>
    <row r="592" s="33" customFormat="1" ht="12.75"/>
    <row r="593" s="33" customFormat="1" ht="12.75"/>
    <row r="594" s="33" customFormat="1" ht="12.75"/>
    <row r="595" s="33" customFormat="1" ht="12.75"/>
    <row r="596" s="33" customFormat="1" ht="12.75"/>
    <row r="597" s="33" customFormat="1" ht="12.75"/>
    <row r="598" s="33" customFormat="1" ht="12.75"/>
    <row r="599" s="33" customFormat="1" ht="12.75"/>
    <row r="600" s="33" customFormat="1" ht="12.75"/>
    <row r="601" s="33" customFormat="1" ht="12.75"/>
    <row r="602" s="33" customFormat="1" ht="12.75"/>
    <row r="603" s="33" customFormat="1" ht="12.75"/>
    <row r="604" s="33" customFormat="1" ht="12.75"/>
    <row r="605" s="33" customFormat="1" ht="12.75"/>
    <row r="606" s="33" customFormat="1" ht="12.75"/>
    <row r="607" s="33" customFormat="1" ht="12.75"/>
    <row r="608" s="33" customFormat="1" ht="12.75"/>
    <row r="609" s="33" customFormat="1" ht="12.75"/>
    <row r="610" s="33" customFormat="1" ht="12.75"/>
    <row r="611" s="33" customFormat="1" ht="12.75"/>
    <row r="612" s="33" customFormat="1" ht="12.75"/>
    <row r="613" s="33" customFormat="1" ht="12.75"/>
    <row r="614" s="33" customFormat="1" ht="12.75"/>
    <row r="615" s="33" customFormat="1" ht="12.75"/>
    <row r="616" s="33" customFormat="1" ht="12.75"/>
    <row r="617" s="33" customFormat="1" ht="12.75"/>
    <row r="618" s="33" customFormat="1" ht="12.75"/>
    <row r="619" s="33" customFormat="1" ht="12.75"/>
    <row r="620" s="33" customFormat="1" ht="12.75"/>
    <row r="621" s="33" customFormat="1" ht="12.75"/>
    <row r="622" s="33" customFormat="1" ht="12.75"/>
    <row r="623" s="33" customFormat="1" ht="12.75"/>
    <row r="624" s="33" customFormat="1" ht="12.75"/>
    <row r="625" s="33" customFormat="1" ht="12.75"/>
    <row r="626" s="33" customFormat="1" ht="12.75"/>
    <row r="627" s="33" customFormat="1" ht="12.75"/>
    <row r="628" s="33" customFormat="1" ht="12.75"/>
    <row r="629" s="33" customFormat="1" ht="12.75"/>
    <row r="630" s="33" customFormat="1" ht="12.75"/>
    <row r="631" s="33" customFormat="1" ht="12.75"/>
    <row r="632" s="33" customFormat="1" ht="12.75"/>
    <row r="633" s="33" customFormat="1" ht="12.75"/>
    <row r="634" s="33" customFormat="1" ht="12.75"/>
    <row r="635" s="33" customFormat="1" ht="12.75"/>
    <row r="636" s="33" customFormat="1" ht="12.75"/>
    <row r="637" s="33" customFormat="1" ht="12.75"/>
    <row r="638" s="33" customFormat="1" ht="12.75"/>
    <row r="639" s="33" customFormat="1" ht="12.75"/>
    <row r="640" s="33" customFormat="1" ht="12.75"/>
    <row r="641" s="33" customFormat="1" ht="12.75"/>
    <row r="642" s="33" customFormat="1" ht="12.75"/>
    <row r="643" s="33" customFormat="1" ht="12.75"/>
    <row r="644" s="33" customFormat="1" ht="12.75"/>
    <row r="645" s="33" customFormat="1" ht="12.75"/>
    <row r="646" s="33" customFormat="1" ht="12.75"/>
    <row r="647" s="33" customFormat="1" ht="12.75"/>
    <row r="648" s="33" customFormat="1" ht="12.75"/>
    <row r="649" s="33" customFormat="1" ht="12.75"/>
    <row r="650" s="33" customFormat="1" ht="12.75"/>
    <row r="651" s="33" customFormat="1" ht="12.75"/>
    <row r="652" s="33" customFormat="1" ht="12.75"/>
    <row r="653" s="33" customFormat="1" ht="12.75"/>
    <row r="654" s="33" customFormat="1" ht="12.75"/>
    <row r="655" s="33" customFormat="1" ht="12.75"/>
    <row r="656" s="33" customFormat="1" ht="12.75"/>
    <row r="657" s="33" customFormat="1" ht="12.75"/>
    <row r="658" s="33" customFormat="1" ht="12.75"/>
    <row r="659" s="33" customFormat="1" ht="12.75"/>
    <row r="660" s="33" customFormat="1" ht="12.75"/>
    <row r="661" s="33" customFormat="1" ht="12.75"/>
    <row r="662" s="33" customFormat="1" ht="12.75"/>
    <row r="663" s="33" customFormat="1" ht="12.75"/>
    <row r="664" s="33" customFormat="1" ht="12.75"/>
    <row r="665" s="33" customFormat="1" ht="12.75"/>
    <row r="666" s="33" customFormat="1" ht="12.75"/>
    <row r="667" s="33" customFormat="1" ht="12.75"/>
    <row r="668" s="33" customFormat="1" ht="12.75"/>
    <row r="669" s="33" customFormat="1" ht="12.75"/>
    <row r="670" s="33" customFormat="1" ht="12.75"/>
    <row r="671" s="33" customFormat="1" ht="12.75"/>
    <row r="672" s="33" customFormat="1" ht="12.75"/>
    <row r="673" s="33" customFormat="1" ht="12.75"/>
    <row r="674" s="33" customFormat="1" ht="12.75"/>
    <row r="675" s="33" customFormat="1" ht="12.75"/>
    <row r="676" s="33" customFormat="1" ht="12.75"/>
    <row r="677" s="33" customFormat="1" ht="12.75"/>
    <row r="678" s="33" customFormat="1" ht="12.75"/>
    <row r="679" s="33" customFormat="1" ht="12.75"/>
    <row r="680" s="33" customFormat="1" ht="12.75"/>
    <row r="681" s="33" customFormat="1" ht="12.75"/>
    <row r="682" s="33" customFormat="1" ht="12.75"/>
    <row r="683" s="33" customFormat="1" ht="12.75"/>
    <row r="684" s="33" customFormat="1" ht="12.75"/>
    <row r="685" s="33" customFormat="1" ht="12.75"/>
    <row r="686" s="33" customFormat="1" ht="12.75"/>
    <row r="687" s="33" customFormat="1" ht="12.75"/>
    <row r="688" s="33" customFormat="1" ht="12.75"/>
    <row r="689" s="33" customFormat="1" ht="12.75"/>
    <row r="690" s="33" customFormat="1" ht="12.75"/>
    <row r="691" s="33" customFormat="1" ht="12.75"/>
    <row r="692" s="33" customFormat="1" ht="12.75"/>
    <row r="693" s="33" customFormat="1" ht="12.75"/>
    <row r="694" s="33" customFormat="1" ht="12.75"/>
    <row r="695" s="33" customFormat="1" ht="12.75"/>
    <row r="696" s="33" customFormat="1" ht="12.75"/>
    <row r="697" s="33" customFormat="1" ht="12.75"/>
    <row r="698" s="33" customFormat="1" ht="12.75"/>
    <row r="699" s="33" customFormat="1" ht="12.75"/>
    <row r="700" s="33" customFormat="1" ht="12.75"/>
    <row r="701" s="33" customFormat="1" ht="12.75"/>
    <row r="702" s="33" customFormat="1" ht="12.75"/>
    <row r="703" s="33" customFormat="1" ht="12.75"/>
    <row r="704" s="33" customFormat="1" ht="12.75"/>
    <row r="705" s="33" customFormat="1" ht="12.75"/>
    <row r="706" s="33" customFormat="1" ht="12.75"/>
    <row r="707" s="33" customFormat="1" ht="12.75"/>
    <row r="708" s="33" customFormat="1" ht="12.75"/>
    <row r="709" s="33" customFormat="1" ht="12.75"/>
    <row r="710" s="33" customFormat="1" ht="12.75"/>
    <row r="711" s="33" customFormat="1" ht="12.75"/>
    <row r="712" s="33" customFormat="1" ht="12.75"/>
    <row r="713" s="33" customFormat="1" ht="12.75"/>
    <row r="714" s="33" customFormat="1" ht="12.75"/>
    <row r="715" s="33" customFormat="1" ht="12.75"/>
    <row r="716" s="33" customFormat="1" ht="12.75"/>
    <row r="717" s="33" customFormat="1" ht="12.75"/>
    <row r="718" s="33" customFormat="1" ht="12.75"/>
    <row r="719" s="33" customFormat="1" ht="12.75"/>
    <row r="720" s="33" customFormat="1" ht="12.75"/>
    <row r="721" s="33" customFormat="1" ht="12.75"/>
    <row r="722" s="33" customFormat="1" ht="12.75"/>
    <row r="723" s="33" customFormat="1" ht="12.75"/>
    <row r="724" s="33" customFormat="1" ht="12.75"/>
    <row r="725" s="33" customFormat="1" ht="12.75"/>
    <row r="726" s="33" customFormat="1" ht="12.75"/>
    <row r="727" s="33" customFormat="1" ht="12.75"/>
    <row r="728" s="33" customFormat="1" ht="12.75"/>
    <row r="729" s="33" customFormat="1" ht="12.75"/>
    <row r="730" s="33" customFormat="1" ht="12.75"/>
    <row r="731" s="33" customFormat="1" ht="12.75"/>
    <row r="732" s="33" customFormat="1" ht="12.75"/>
    <row r="733" s="33" customFormat="1" ht="12.75"/>
    <row r="734" s="33" customFormat="1" ht="12.75"/>
    <row r="735" s="33" customFormat="1" ht="12.75"/>
    <row r="736" s="33" customFormat="1" ht="12.75"/>
    <row r="737" s="33" customFormat="1" ht="12.75"/>
    <row r="738" s="33" customFormat="1" ht="12.75"/>
    <row r="739" s="33" customFormat="1" ht="12.75"/>
    <row r="740" s="33" customFormat="1" ht="12.75"/>
    <row r="741" s="33" customFormat="1" ht="12.75"/>
    <row r="742" s="33" customFormat="1" ht="12.75"/>
    <row r="743" s="33" customFormat="1" ht="12.75"/>
    <row r="744" s="33" customFormat="1" ht="12.75"/>
    <row r="745" s="33" customFormat="1" ht="12.75"/>
    <row r="746" s="33" customFormat="1" ht="12.75"/>
    <row r="747" s="33" customFormat="1" ht="12.75"/>
    <row r="748" s="33" customFormat="1" ht="12.75"/>
    <row r="749" s="33" customFormat="1" ht="12.75"/>
    <row r="750" s="33" customFormat="1" ht="12.75"/>
    <row r="751" s="33" customFormat="1" ht="12.75"/>
    <row r="752" s="33" customFormat="1" ht="12.75"/>
    <row r="753" s="33" customFormat="1" ht="12.75"/>
    <row r="754" s="33" customFormat="1" ht="12.75"/>
    <row r="755" s="33" customFormat="1" ht="12.75"/>
    <row r="756" s="33" customFormat="1" ht="12.75"/>
    <row r="757" s="33" customFormat="1" ht="12.75"/>
    <row r="758" s="33" customFormat="1" ht="12.75"/>
    <row r="759" s="33" customFormat="1" ht="12.75"/>
    <row r="760" s="33" customFormat="1" ht="12.75"/>
    <row r="761" s="33" customFormat="1" ht="12.75"/>
    <row r="762" s="33" customFormat="1" ht="12.75"/>
    <row r="763" s="33" customFormat="1" ht="12.75"/>
    <row r="764" s="33" customFormat="1" ht="12.75"/>
    <row r="765" s="33" customFormat="1" ht="12.75"/>
    <row r="766" s="33" customFormat="1" ht="12.75"/>
    <row r="767" s="33" customFormat="1" ht="12.75"/>
    <row r="768" s="33" customFormat="1" ht="12.75"/>
    <row r="769" s="33" customFormat="1" ht="12.75"/>
    <row r="770" s="33" customFormat="1" ht="12.75"/>
    <row r="771" s="33" customFormat="1" ht="12.75"/>
    <row r="772" s="33" customFormat="1" ht="12.75"/>
    <row r="773" s="33" customFormat="1" ht="12.75"/>
    <row r="774" s="33" customFormat="1" ht="12.75"/>
    <row r="775" s="33" customFormat="1" ht="12.75"/>
    <row r="776" s="33" customFormat="1" ht="12.75"/>
    <row r="777" s="33" customFormat="1" ht="12.75"/>
    <row r="778" s="33" customFormat="1" ht="12.75"/>
    <row r="779" s="33" customFormat="1" ht="12.75"/>
    <row r="780" s="33" customFormat="1" ht="12.75"/>
    <row r="781" s="33" customFormat="1" ht="12.75"/>
    <row r="782" s="33" customFormat="1" ht="12.75"/>
    <row r="783" s="33" customFormat="1" ht="12.75"/>
    <row r="784" s="33" customFormat="1" ht="12.75"/>
    <row r="785" s="33" customFormat="1" ht="12.75"/>
    <row r="786" s="33" customFormat="1" ht="12.75"/>
    <row r="787" s="33" customFormat="1" ht="12.75"/>
    <row r="788" s="33" customFormat="1" ht="12.75"/>
    <row r="789" s="33" customFormat="1" ht="12.75"/>
    <row r="790" s="33" customFormat="1" ht="12.75"/>
    <row r="791" s="33" customFormat="1" ht="12.75"/>
    <row r="792" s="33" customFormat="1" ht="12.75"/>
    <row r="793" s="33" customFormat="1" ht="12.75"/>
    <row r="794" s="33" customFormat="1" ht="12.75"/>
    <row r="795" s="33" customFormat="1" ht="12.75"/>
    <row r="796" s="33" customFormat="1" ht="12.75"/>
    <row r="797" s="33" customFormat="1" ht="12.75"/>
    <row r="798" s="33" customFormat="1" ht="12.75"/>
    <row r="799" s="33" customFormat="1" ht="12.75"/>
    <row r="800" s="33" customFormat="1" ht="12.75"/>
    <row r="801" s="33" customFormat="1" ht="12.75"/>
    <row r="802" s="33" customFormat="1" ht="12.75"/>
    <row r="803" s="33" customFormat="1" ht="12.75"/>
    <row r="804" s="33" customFormat="1" ht="12.75"/>
    <row r="805" s="33" customFormat="1" ht="12.75"/>
    <row r="806" s="33" customFormat="1" ht="12.75"/>
    <row r="807" s="33" customFormat="1" ht="12.75"/>
    <row r="808" s="33" customFormat="1" ht="12.75"/>
    <row r="809" s="33" customFormat="1" ht="12.75"/>
    <row r="810" s="33" customFormat="1" ht="12.75"/>
    <row r="811" s="33" customFormat="1" ht="12.75"/>
    <row r="812" s="33" customFormat="1" ht="12.75"/>
    <row r="813" s="33" customFormat="1" ht="12.75"/>
    <row r="814" s="33" customFormat="1" ht="12.75"/>
    <row r="815" s="33" customFormat="1" ht="12.75"/>
    <row r="816" s="33" customFormat="1" ht="12.75"/>
    <row r="817" s="33" customFormat="1" ht="12.75"/>
    <row r="818" s="33" customFormat="1" ht="12.75"/>
    <row r="819" s="33" customFormat="1" ht="12.75"/>
    <row r="820" s="33" customFormat="1" ht="12.75"/>
    <row r="821" s="33" customFormat="1" ht="12.75"/>
    <row r="822" s="33" customFormat="1" ht="12.75"/>
    <row r="823" s="33" customFormat="1" ht="12.75"/>
    <row r="824" s="33" customFormat="1" ht="12.75"/>
    <row r="825" s="33" customFormat="1" ht="12.75"/>
    <row r="826" s="33" customFormat="1" ht="12.75"/>
    <row r="827" s="33" customFormat="1" ht="12.75"/>
    <row r="828" s="33" customFormat="1" ht="12.75"/>
    <row r="829" s="33" customFormat="1" ht="12.75"/>
    <row r="830" s="33" customFormat="1" ht="12.75"/>
    <row r="831" s="33" customFormat="1" ht="12.75"/>
    <row r="832" s="33" customFormat="1" ht="12.75"/>
    <row r="833" s="33" customFormat="1" ht="12.75"/>
    <row r="834" s="33" customFormat="1" ht="12.75"/>
    <row r="835" s="33" customFormat="1" ht="12.75"/>
    <row r="836" s="33" customFormat="1" ht="12.75"/>
    <row r="837" s="33" customFormat="1" ht="12.75"/>
    <row r="838" s="33" customFormat="1" ht="12.75"/>
    <row r="839" s="33" customFormat="1" ht="12.75"/>
    <row r="840" s="33" customFormat="1" ht="12.75"/>
    <row r="841" s="33" customFormat="1" ht="12.75"/>
    <row r="842" s="33" customFormat="1" ht="12.75"/>
    <row r="843" s="33" customFormat="1" ht="12.75"/>
    <row r="844" s="33" customFormat="1" ht="12.75"/>
    <row r="845" s="33" customFormat="1" ht="12.75"/>
    <row r="846" s="33" customFormat="1" ht="12.75"/>
    <row r="847" s="33" customFormat="1" ht="12.75"/>
    <row r="848" s="33" customFormat="1" ht="12.75"/>
    <row r="849" s="33" customFormat="1" ht="12.75"/>
    <row r="850" s="33" customFormat="1" ht="12.75"/>
    <row r="851" s="33" customFormat="1" ht="12.75"/>
    <row r="852" s="33" customFormat="1" ht="12.75"/>
    <row r="853" s="33" customFormat="1" ht="12.75"/>
    <row r="854" s="33" customFormat="1" ht="12.75"/>
    <row r="855" s="33" customFormat="1" ht="12.75"/>
    <row r="856" s="33" customFormat="1" ht="12.75"/>
    <row r="857" s="33" customFormat="1" ht="12.75"/>
    <row r="858" s="33" customFormat="1" ht="12.75"/>
    <row r="859" s="33" customFormat="1" ht="12.75"/>
    <row r="860" s="33" customFormat="1" ht="12.75"/>
    <row r="861" s="33" customFormat="1" ht="12.75"/>
    <row r="862" s="33" customFormat="1" ht="12.75"/>
    <row r="863" s="33" customFormat="1" ht="12.75"/>
    <row r="864" s="33" customFormat="1" ht="12.75"/>
    <row r="865" s="33" customFormat="1" ht="12.75"/>
    <row r="866" s="33" customFormat="1" ht="12.75"/>
    <row r="867" s="33" customFormat="1" ht="12.75"/>
    <row r="868" s="33" customFormat="1" ht="12.75"/>
    <row r="869" s="33" customFormat="1" ht="12.75"/>
    <row r="870" s="33" customFormat="1" ht="12.75"/>
    <row r="871" s="33" customFormat="1" ht="12.75"/>
    <row r="872" s="33" customFormat="1" ht="12.75"/>
    <row r="873" s="33" customFormat="1" ht="12.75"/>
    <row r="874" s="33" customFormat="1" ht="12.75"/>
    <row r="875" s="33" customFormat="1" ht="12.75"/>
    <row r="876" s="33" customFormat="1" ht="12.75"/>
    <row r="877" s="33" customFormat="1" ht="12.75"/>
    <row r="878" s="33" customFormat="1" ht="12.75"/>
    <row r="879" s="33" customFormat="1" ht="12.75"/>
    <row r="880" s="33" customFormat="1" ht="12.75"/>
    <row r="881" s="33" customFormat="1" ht="12.75"/>
    <row r="882" s="33" customFormat="1" ht="12.75"/>
    <row r="883" s="33" customFormat="1" ht="12.75"/>
    <row r="884" s="33" customFormat="1" ht="12.75"/>
    <row r="885" s="33" customFormat="1" ht="12.75"/>
    <row r="886" s="33" customFormat="1" ht="12.75"/>
    <row r="887" s="33" customFormat="1" ht="12.75"/>
    <row r="888" s="33" customFormat="1" ht="12.75"/>
    <row r="889" s="33" customFormat="1" ht="12.75"/>
    <row r="890" s="33" customFormat="1" ht="12.75"/>
    <row r="891" s="33" customFormat="1" ht="12.75"/>
    <row r="892" s="33" customFormat="1" ht="12.75"/>
    <row r="893" s="33" customFormat="1" ht="12.75"/>
    <row r="894" s="33" customFormat="1" ht="12.75"/>
    <row r="895" s="33" customFormat="1" ht="12.75"/>
    <row r="896" s="33" customFormat="1" ht="12.75"/>
    <row r="897" s="33" customFormat="1" ht="12.75"/>
    <row r="898" s="33" customFormat="1" ht="12.75"/>
    <row r="899" s="33" customFormat="1" ht="12.75"/>
    <row r="900" s="33" customFormat="1" ht="12.75"/>
    <row r="901" s="33" customFormat="1" ht="12.75"/>
    <row r="902" s="33" customFormat="1" ht="12.75"/>
    <row r="903" s="33" customFormat="1" ht="12.75"/>
    <row r="904" s="33" customFormat="1" ht="12.75"/>
    <row r="905" s="33" customFormat="1" ht="12.75"/>
    <row r="906" s="33" customFormat="1" ht="12.75"/>
    <row r="907" s="33" customFormat="1" ht="12.75"/>
    <row r="908" s="33" customFormat="1" ht="12.75"/>
    <row r="909" s="33" customFormat="1" ht="12.75"/>
    <row r="910" s="33" customFormat="1" ht="12.75"/>
    <row r="911" s="33" customFormat="1" ht="12.75"/>
    <row r="912" s="33" customFormat="1" ht="12.75"/>
    <row r="913" s="33" customFormat="1" ht="12.75"/>
    <row r="914" s="33" customFormat="1" ht="12.75"/>
    <row r="915" s="33" customFormat="1" ht="12.75"/>
    <row r="916" s="33" customFormat="1" ht="12.75"/>
    <row r="917" s="33" customFormat="1" ht="12.75"/>
    <row r="918" s="33" customFormat="1" ht="12.75"/>
    <row r="919" s="33" customFormat="1" ht="12.75"/>
    <row r="920" s="33" customFormat="1" ht="12.75"/>
    <row r="921" s="33" customFormat="1" ht="12.75"/>
    <row r="922" s="33" customFormat="1" ht="12.75"/>
    <row r="923" s="33" customFormat="1" ht="12.75"/>
    <row r="924" s="33" customFormat="1" ht="12.75"/>
    <row r="925" s="33" customFormat="1" ht="12.75"/>
    <row r="926" s="33" customFormat="1" ht="12.75"/>
    <row r="927" s="33" customFormat="1" ht="12.75"/>
    <row r="928" s="33" customFormat="1" ht="12.75"/>
    <row r="929" s="33" customFormat="1" ht="12.75"/>
    <row r="930" s="33" customFormat="1" ht="12.75"/>
    <row r="931" s="33" customFormat="1" ht="12.75"/>
    <row r="932" s="33" customFormat="1" ht="12.75"/>
    <row r="933" s="33" customFormat="1" ht="12.75"/>
    <row r="934" s="33" customFormat="1" ht="12.75"/>
    <row r="935" s="33" customFormat="1" ht="12.75"/>
    <row r="936" s="33" customFormat="1" ht="12.75"/>
    <row r="937" s="33" customFormat="1" ht="12.75"/>
    <row r="938" s="33" customFormat="1" ht="12.75"/>
    <row r="939" s="33" customFormat="1" ht="12.75"/>
    <row r="940" s="33" customFormat="1" ht="12.75"/>
    <row r="941" s="33" customFormat="1" ht="12.75"/>
    <row r="942" s="33" customFormat="1" ht="12.75"/>
    <row r="943" s="33" customFormat="1" ht="12.75"/>
    <row r="944" s="33" customFormat="1" ht="12.75"/>
    <row r="945" s="33" customFormat="1" ht="12.75"/>
    <row r="946" s="33" customFormat="1" ht="12.75"/>
    <row r="947" s="33" customFormat="1" ht="12.75"/>
    <row r="948" s="33" customFormat="1" ht="12.75"/>
    <row r="949" s="33" customFormat="1" ht="12.75"/>
    <row r="950" s="33" customFormat="1" ht="12.75"/>
    <row r="951" s="33" customFormat="1" ht="12.75"/>
    <row r="952" s="33" customFormat="1" ht="12.75"/>
    <row r="953" s="33" customFormat="1" ht="12.75"/>
    <row r="954" s="33" customFormat="1" ht="12.75"/>
    <row r="955" s="33" customFormat="1" ht="12.75"/>
    <row r="956" s="33" customFormat="1" ht="12.75"/>
    <row r="957" s="33" customFormat="1" ht="12.75"/>
    <row r="958" s="33" customFormat="1" ht="12.75"/>
    <row r="959" s="33" customFormat="1" ht="12.75"/>
    <row r="960" s="33" customFormat="1" ht="12.75"/>
    <row r="961" s="33" customFormat="1" ht="12.75"/>
    <row r="962" s="33" customFormat="1" ht="12.75"/>
    <row r="963" s="33" customFormat="1" ht="12.75"/>
    <row r="964" s="33" customFormat="1" ht="12.75"/>
    <row r="965" s="33" customFormat="1" ht="12.75"/>
    <row r="966" s="33" customFormat="1" ht="12.75"/>
    <row r="967" s="33" customFormat="1" ht="12.75"/>
    <row r="968" s="33" customFormat="1" ht="12.75"/>
    <row r="969" s="33" customFormat="1" ht="12.75"/>
    <row r="970" s="33" customFormat="1" ht="12.75"/>
    <row r="971" s="33" customFormat="1" ht="12.75"/>
    <row r="972" s="33" customFormat="1" ht="12.75"/>
    <row r="973" s="33" customFormat="1" ht="12.75"/>
    <row r="974" s="33" customFormat="1" ht="12.75"/>
    <row r="975" s="33" customFormat="1" ht="12.75"/>
    <row r="976" s="33" customFormat="1" ht="12.75"/>
    <row r="977" s="33" customFormat="1" ht="12.75"/>
    <row r="978" s="33" customFormat="1" ht="12.75"/>
    <row r="979" s="33" customFormat="1" ht="12.75"/>
    <row r="980" s="33" customFormat="1" ht="12.75"/>
    <row r="981" s="33" customFormat="1" ht="12.75"/>
    <row r="982" s="33" customFormat="1" ht="12.75"/>
    <row r="983" s="33" customFormat="1" ht="12.75"/>
    <row r="984" s="33" customFormat="1" ht="12.75"/>
    <row r="985" s="33" customFormat="1" ht="12.75"/>
    <row r="986" s="33" customFormat="1" ht="12.75"/>
    <row r="987" s="33" customFormat="1" ht="12.75"/>
    <row r="988" s="33" customFormat="1" ht="12.75"/>
    <row r="989" s="33" customFormat="1" ht="12.75"/>
    <row r="990" s="33" customFormat="1" ht="12.75"/>
    <row r="991" s="33" customFormat="1" ht="12.75"/>
    <row r="992" s="33" customFormat="1" ht="12.75"/>
    <row r="993" s="33" customFormat="1" ht="12.75"/>
    <row r="994" s="33" customFormat="1" ht="12.75"/>
    <row r="995" s="33" customFormat="1" ht="12.75"/>
    <row r="996" s="33" customFormat="1" ht="12.75"/>
    <row r="997" s="33" customFormat="1" ht="12.75"/>
    <row r="998" s="33" customFormat="1" ht="12.75"/>
    <row r="999" s="33" customFormat="1" ht="12.75"/>
    <row r="1000" s="33" customFormat="1" ht="12.75"/>
    <row r="1001" s="33" customFormat="1" ht="12.75"/>
    <row r="1002" s="33" customFormat="1" ht="12.75"/>
    <row r="1003" s="33" customFormat="1" ht="12.75"/>
    <row r="1004" s="33" customFormat="1" ht="12.75"/>
    <row r="1005" s="33" customFormat="1" ht="12.75"/>
    <row r="1006" s="33" customFormat="1" ht="12.75"/>
    <row r="1007" s="33" customFormat="1" ht="12.75"/>
    <row r="1008" s="33" customFormat="1" ht="12.75"/>
    <row r="1009" s="33" customFormat="1" ht="12.75"/>
    <row r="1010" s="33" customFormat="1" ht="12.75"/>
    <row r="1011" s="33" customFormat="1" ht="12.75"/>
    <row r="1012" s="33" customFormat="1" ht="12.75"/>
    <row r="1013" s="33" customFormat="1" ht="12.75"/>
    <row r="1014" s="33" customFormat="1" ht="12.75"/>
    <row r="1015" s="33" customFormat="1" ht="12.75"/>
    <row r="1016" s="33" customFormat="1" ht="12.75"/>
    <row r="1017" s="33" customFormat="1" ht="12.75"/>
    <row r="1018" s="33" customFormat="1" ht="12.75"/>
    <row r="1019" s="33" customFormat="1" ht="12.75"/>
    <row r="1020" s="33" customFormat="1" ht="12.75"/>
    <row r="1021" s="33" customFormat="1" ht="12.75"/>
    <row r="1022" s="33" customFormat="1" ht="12.75"/>
    <row r="1023" s="33" customFormat="1" ht="12.75"/>
    <row r="1024" s="33" customFormat="1" ht="12.75"/>
    <row r="1025" s="33" customFormat="1" ht="12.75"/>
    <row r="1026" s="33" customFormat="1" ht="12.75"/>
    <row r="1027" s="33" customFormat="1" ht="12.75"/>
    <row r="1028" s="33" customFormat="1" ht="12.75"/>
    <row r="1029" s="33" customFormat="1" ht="12.75"/>
    <row r="1030" s="33" customFormat="1" ht="12.75"/>
    <row r="1031" s="33" customFormat="1" ht="12.75"/>
    <row r="1032" s="33" customFormat="1" ht="12.75"/>
    <row r="1033" s="33" customFormat="1" ht="12.75"/>
    <row r="1034" s="33" customFormat="1" ht="12.75"/>
    <row r="1035" s="33" customFormat="1" ht="12.75"/>
    <row r="1036" s="33" customFormat="1" ht="12.75"/>
    <row r="1037" s="33" customFormat="1" ht="12.75"/>
    <row r="1038" s="33" customFormat="1" ht="12.75"/>
    <row r="1039" s="33" customFormat="1" ht="12.75"/>
    <row r="1040" s="33" customFormat="1" ht="12.75"/>
    <row r="1041" s="33" customFormat="1" ht="12.75"/>
    <row r="1042" s="33" customFormat="1" ht="12.75"/>
    <row r="1043" s="33" customFormat="1" ht="12.75"/>
    <row r="1044" s="33" customFormat="1" ht="12.75"/>
    <row r="1045" s="33" customFormat="1" ht="12.75"/>
    <row r="1046" s="33" customFormat="1" ht="12.75"/>
    <row r="1047" s="33" customFormat="1" ht="12.75"/>
    <row r="1048" s="33" customFormat="1" ht="12.75"/>
    <row r="1049" s="33" customFormat="1" ht="12.75"/>
    <row r="1050" s="33" customFormat="1" ht="12.75"/>
    <row r="1051" s="33" customFormat="1" ht="12.75"/>
    <row r="1052" s="33" customFormat="1" ht="12.75"/>
    <row r="1053" s="33" customFormat="1" ht="12.75"/>
    <row r="1054" s="33" customFormat="1" ht="12.75"/>
    <row r="1055" s="33" customFormat="1" ht="12.75"/>
    <row r="1056" s="33" customFormat="1" ht="12.75"/>
    <row r="1057" s="33" customFormat="1" ht="12.75"/>
    <row r="1058" s="33" customFormat="1" ht="12.75"/>
    <row r="1059" s="33" customFormat="1" ht="12.75"/>
    <row r="1060" s="33" customFormat="1" ht="12.75"/>
    <row r="1061" s="33" customFormat="1" ht="12.75"/>
    <row r="1062" s="33" customFormat="1" ht="12.75"/>
    <row r="1063" s="33" customFormat="1" ht="12.75"/>
    <row r="1064" s="33" customFormat="1" ht="12.75"/>
    <row r="1065" s="33" customFormat="1" ht="12.75"/>
    <row r="1066" s="33" customFormat="1" ht="12.75"/>
    <row r="1067" s="33" customFormat="1" ht="12.75"/>
    <row r="1068" s="33" customFormat="1" ht="12.75"/>
    <row r="1069" s="33" customFormat="1" ht="12.75"/>
    <row r="1070" s="33" customFormat="1" ht="12.75"/>
    <row r="1071" s="33" customFormat="1" ht="12.75"/>
    <row r="1072" s="33" customFormat="1" ht="12.75"/>
    <row r="1073" s="33" customFormat="1" ht="12.75"/>
    <row r="1074" s="33" customFormat="1" ht="12.75"/>
    <row r="1075" s="33" customFormat="1" ht="12.75"/>
    <row r="1076" s="33" customFormat="1" ht="12.75"/>
    <row r="1077" s="33" customFormat="1" ht="12.75"/>
    <row r="1078" s="33" customFormat="1" ht="12.75"/>
    <row r="1079" s="33" customFormat="1" ht="12.75"/>
    <row r="1080" s="33" customFormat="1" ht="12.75"/>
    <row r="1081" s="33" customFormat="1" ht="12.75"/>
    <row r="1082" s="33" customFormat="1" ht="12.75"/>
    <row r="1083" s="33" customFormat="1" ht="12.75"/>
    <row r="1084" s="33" customFormat="1" ht="12.75"/>
    <row r="1085" s="33" customFormat="1" ht="12.75"/>
    <row r="1086" s="33" customFormat="1" ht="12.75"/>
    <row r="1087" s="33" customFormat="1" ht="12.75"/>
    <row r="1088" s="33" customFormat="1" ht="12.75"/>
    <row r="1089" s="33" customFormat="1" ht="12.75"/>
    <row r="1090" s="33" customFormat="1" ht="12.75"/>
    <row r="1091" s="33" customFormat="1" ht="12.75"/>
    <row r="1092" s="33" customFormat="1" ht="12.75"/>
    <row r="1093" s="33" customFormat="1" ht="12.75"/>
    <row r="1094" s="33" customFormat="1" ht="12.75"/>
    <row r="1095" s="33" customFormat="1" ht="12.75"/>
    <row r="1096" s="33" customFormat="1" ht="12.75"/>
    <row r="1097" s="33" customFormat="1" ht="12.75"/>
    <row r="1098" s="33" customFormat="1" ht="12.75"/>
    <row r="1099" s="33" customFormat="1" ht="12.75"/>
    <row r="1100" s="33" customFormat="1" ht="12.75"/>
    <row r="1101" s="33" customFormat="1" ht="12.75"/>
    <row r="1102" s="33" customFormat="1" ht="12.75"/>
    <row r="1103" s="33" customFormat="1" ht="12.75"/>
    <row r="1104" s="33" customFormat="1" ht="12.75"/>
    <row r="1105" s="33" customFormat="1" ht="12.75"/>
    <row r="1106" s="33" customFormat="1" ht="12.75"/>
    <row r="1107" s="33" customFormat="1" ht="12.75"/>
    <row r="1108" s="33" customFormat="1" ht="12.75"/>
    <row r="1109" s="33" customFormat="1" ht="12.75"/>
    <row r="1110" s="33" customFormat="1" ht="12.75"/>
    <row r="1111" s="33" customFormat="1" ht="12.75"/>
    <row r="1112" s="33" customFormat="1" ht="12.75"/>
    <row r="1113" s="33" customFormat="1" ht="12.75"/>
    <row r="1114" s="33" customFormat="1" ht="12.75"/>
    <row r="1115" s="33" customFormat="1" ht="12.75"/>
    <row r="1116" s="33" customFormat="1" ht="12.75"/>
    <row r="1117" s="33" customFormat="1" ht="12.75"/>
    <row r="1118" s="33" customFormat="1" ht="12.75"/>
    <row r="1119" s="33" customFormat="1" ht="12.75"/>
    <row r="1120" s="33" customFormat="1" ht="12.75"/>
    <row r="1121" s="33" customFormat="1" ht="12.75"/>
    <row r="1122" s="33" customFormat="1" ht="12.75"/>
    <row r="1123" s="33" customFormat="1" ht="12.75"/>
    <row r="1124" s="33" customFormat="1" ht="12.75"/>
    <row r="1125" s="33" customFormat="1" ht="12.75"/>
    <row r="1126" s="33" customFormat="1" ht="12.75"/>
    <row r="1127" s="33" customFormat="1" ht="12.75"/>
    <row r="1128" s="33" customFormat="1" ht="12.75"/>
    <row r="1129" s="33" customFormat="1" ht="12.75"/>
    <row r="1130" s="33" customFormat="1" ht="12.75"/>
    <row r="1131" s="33" customFormat="1" ht="12.75"/>
    <row r="1132" s="33" customFormat="1" ht="12.75"/>
    <row r="1133" s="33" customFormat="1" ht="12.75"/>
    <row r="1134" s="33" customFormat="1" ht="12.75"/>
    <row r="1135" s="33" customFormat="1" ht="12.75"/>
    <row r="1136" s="33" customFormat="1" ht="12.75"/>
    <row r="1137" s="33" customFormat="1" ht="12.75"/>
    <row r="1138" s="33" customFormat="1" ht="12.75"/>
    <row r="1139" s="33" customFormat="1" ht="12.75"/>
    <row r="1140" s="33" customFormat="1" ht="12.75"/>
    <row r="1141" s="33" customFormat="1" ht="12.75"/>
    <row r="1142" s="33" customFormat="1" ht="12.75"/>
    <row r="1143" s="33" customFormat="1" ht="12.75"/>
    <row r="1144" s="33" customFormat="1" ht="12.75"/>
    <row r="1145" s="33" customFormat="1" ht="12.75"/>
    <row r="1146" s="33" customFormat="1" ht="12.75"/>
    <row r="1147" s="33" customFormat="1" ht="12.75"/>
    <row r="1148" s="33" customFormat="1" ht="12.75"/>
    <row r="1149" s="33" customFormat="1" ht="12.75"/>
    <row r="1150" s="33" customFormat="1" ht="12.75"/>
    <row r="1151" s="33" customFormat="1" ht="12.75"/>
    <row r="1152" s="33" customFormat="1" ht="12.75"/>
    <row r="1153" s="33" customFormat="1" ht="12.75"/>
    <row r="1154" s="33" customFormat="1" ht="12.75"/>
    <row r="1155" s="33" customFormat="1" ht="12.75"/>
    <row r="1156" s="33" customFormat="1" ht="12.75"/>
    <row r="1157" s="33" customFormat="1" ht="12.75"/>
    <row r="1158" s="33" customFormat="1" ht="12.75"/>
    <row r="1159" s="33" customFormat="1" ht="12.75"/>
    <row r="1160" s="33" customFormat="1" ht="12.75"/>
    <row r="1161" s="33" customFormat="1" ht="12.75"/>
    <row r="1162" s="33" customFormat="1" ht="12.75"/>
    <row r="1163" s="33" customFormat="1" ht="12.75"/>
    <row r="1164" s="33" customFormat="1" ht="12.75"/>
    <row r="1165" s="33" customFormat="1" ht="12.75"/>
    <row r="1166" s="33" customFormat="1" ht="12.75"/>
    <row r="1167" s="33" customFormat="1" ht="12.75"/>
    <row r="1168" s="33" customFormat="1" ht="12.75"/>
    <row r="1169" s="33" customFormat="1" ht="12.75"/>
    <row r="1170" s="33" customFormat="1" ht="12.75"/>
    <row r="1171" s="33" customFormat="1" ht="12.75"/>
    <row r="1172" s="33" customFormat="1" ht="12.75"/>
    <row r="1173" s="33" customFormat="1" ht="12.75"/>
    <row r="1174" s="33" customFormat="1" ht="12.75"/>
    <row r="1175" s="33" customFormat="1" ht="12.75"/>
    <row r="1176" s="33" customFormat="1" ht="12.75"/>
    <row r="1177" s="33" customFormat="1" ht="12.75"/>
    <row r="1178" s="33" customFormat="1" ht="12.75"/>
    <row r="1179" s="33" customFormat="1" ht="12.75"/>
    <row r="1180" s="33" customFormat="1" ht="12.75"/>
    <row r="1181" s="33" customFormat="1" ht="12.75"/>
    <row r="1182" s="33" customFormat="1" ht="12.75"/>
    <row r="1183" s="33" customFormat="1" ht="12.75"/>
    <row r="1184" s="33" customFormat="1" ht="12.75"/>
    <row r="1185" s="33" customFormat="1" ht="12.75"/>
    <row r="1186" s="33" customFormat="1" ht="12.75"/>
    <row r="1187" s="33" customFormat="1" ht="12.75"/>
    <row r="1188" s="33" customFormat="1" ht="12.75"/>
    <row r="1189" s="33" customFormat="1" ht="12.75"/>
    <row r="1190" s="33" customFormat="1" ht="12.75"/>
    <row r="1191" s="33" customFormat="1" ht="12.75"/>
    <row r="1192" s="33" customFormat="1" ht="12.75"/>
    <row r="1193" s="33" customFormat="1" ht="12.75"/>
    <row r="1194" s="33" customFormat="1" ht="12.75"/>
    <row r="1195" s="33" customFormat="1" ht="12.75"/>
    <row r="1196" s="33" customFormat="1" ht="12.75"/>
    <row r="1197" s="33" customFormat="1" ht="12.75"/>
    <row r="1198" s="33" customFormat="1" ht="12.75"/>
    <row r="1199" s="33" customFormat="1" ht="12.75"/>
    <row r="1200" s="33" customFormat="1" ht="12.75"/>
    <row r="1201" s="33" customFormat="1" ht="12.75"/>
    <row r="1202" s="33" customFormat="1" ht="12.75"/>
    <row r="1203" s="33" customFormat="1" ht="12.75"/>
    <row r="1204" s="33" customFormat="1" ht="12.75"/>
    <row r="1205" s="33" customFormat="1" ht="12.75"/>
    <row r="1206" s="33" customFormat="1" ht="12.75"/>
    <row r="1207" s="33" customFormat="1" ht="12.75"/>
    <row r="1208" s="33" customFormat="1" ht="12.75"/>
    <row r="1209" s="33" customFormat="1" ht="12.75"/>
    <row r="1210" s="33" customFormat="1" ht="12.75"/>
    <row r="1211" s="33" customFormat="1" ht="12.75"/>
    <row r="1212" s="33" customFormat="1" ht="12.75"/>
    <row r="1213" s="33" customFormat="1" ht="12.75"/>
    <row r="1214" s="33" customFormat="1" ht="12.75"/>
    <row r="1215" s="33" customFormat="1" ht="12.75"/>
    <row r="1216" s="33" customFormat="1" ht="12.75"/>
    <row r="1217" s="33" customFormat="1" ht="12.75"/>
    <row r="1218" s="33" customFormat="1" ht="12.75"/>
    <row r="1219" s="33" customFormat="1" ht="12.75"/>
    <row r="1220" s="33" customFormat="1" ht="12.75"/>
    <row r="1221" s="33" customFormat="1" ht="12.75"/>
    <row r="1222" s="33" customFormat="1" ht="12.75"/>
    <row r="1223" s="33" customFormat="1" ht="12.75"/>
    <row r="1224" s="33" customFormat="1" ht="12.75"/>
    <row r="1225" s="33" customFormat="1" ht="12.75"/>
    <row r="1226" s="33" customFormat="1" ht="12.75"/>
    <row r="1227" s="33" customFormat="1" ht="12.75"/>
    <row r="1228" s="33" customFormat="1" ht="12.75"/>
    <row r="1229" s="33" customFormat="1" ht="12.75"/>
    <row r="1230" s="33" customFormat="1" ht="12.75"/>
    <row r="1231" s="33" customFormat="1" ht="12.75"/>
    <row r="1232" s="33" customFormat="1" ht="12.75"/>
    <row r="1233" s="33" customFormat="1" ht="12.75"/>
    <row r="1234" s="33" customFormat="1" ht="12.75"/>
    <row r="1235" s="33" customFormat="1" ht="12.75"/>
    <row r="1236" s="33" customFormat="1" ht="12.75"/>
    <row r="1237" s="33" customFormat="1" ht="12.75"/>
    <row r="1238" s="33" customFormat="1" ht="12.75"/>
    <row r="1239" s="33" customFormat="1" ht="12.75"/>
    <row r="1240" s="33" customFormat="1" ht="12.75"/>
    <row r="1241" s="33" customFormat="1" ht="12.75"/>
    <row r="1242" s="33" customFormat="1" ht="12.75"/>
    <row r="1243" s="33" customFormat="1" ht="12.75"/>
    <row r="1244" s="33" customFormat="1" ht="12.75"/>
    <row r="1245" s="33" customFormat="1" ht="12.75"/>
    <row r="1246" s="33" customFormat="1" ht="12.75"/>
    <row r="1247" s="33" customFormat="1" ht="12.75"/>
    <row r="1248" s="33" customFormat="1" ht="12.75"/>
    <row r="1249" s="33" customFormat="1" ht="12.75"/>
    <row r="1250" s="33" customFormat="1" ht="12.75"/>
    <row r="1251" s="33" customFormat="1" ht="12.75"/>
    <row r="1252" s="33" customFormat="1" ht="12.75"/>
    <row r="1253" s="33" customFormat="1" ht="12.75"/>
    <row r="1254" s="33" customFormat="1" ht="12.75"/>
    <row r="1255" s="33" customFormat="1" ht="12.75"/>
    <row r="1256" s="33" customFormat="1" ht="12.75"/>
    <row r="1257" s="33" customFormat="1" ht="12.75"/>
    <row r="1258" s="33" customFormat="1" ht="12.75"/>
    <row r="1259" s="33" customFormat="1" ht="12.75"/>
    <row r="1260" s="33" customFormat="1" ht="12.75"/>
    <row r="1261" s="33" customFormat="1" ht="12.75"/>
    <row r="1262" s="33" customFormat="1" ht="12.75"/>
    <row r="1263" s="33" customFormat="1" ht="12.75"/>
    <row r="1264" s="33" customFormat="1" ht="12.75"/>
    <row r="1265" s="33" customFormat="1" ht="12.75"/>
    <row r="1266" s="33" customFormat="1" ht="12.75"/>
    <row r="1267" s="33" customFormat="1" ht="12.75"/>
    <row r="1268" s="33" customFormat="1" ht="12.75"/>
    <row r="1269" s="33" customFormat="1" ht="12.75"/>
    <row r="1270" s="33" customFormat="1" ht="12.75"/>
    <row r="1271" s="33" customFormat="1" ht="12.75"/>
    <row r="1272" s="33" customFormat="1" ht="12.75"/>
    <row r="1273" s="33" customFormat="1" ht="12.75"/>
    <row r="1274" s="33" customFormat="1" ht="12.75"/>
    <row r="1275" s="33" customFormat="1" ht="12.75"/>
    <row r="1276" s="33" customFormat="1" ht="12.75"/>
    <row r="1277" s="33" customFormat="1" ht="12.75"/>
    <row r="1278" s="33" customFormat="1" ht="12.75"/>
    <row r="1279" s="33" customFormat="1" ht="12.75"/>
    <row r="1280" s="33" customFormat="1" ht="12.75"/>
    <row r="1281" s="33" customFormat="1" ht="12.75"/>
    <row r="1282" s="33" customFormat="1" ht="12.75"/>
    <row r="1283" s="33" customFormat="1" ht="12.75"/>
    <row r="1284" s="33" customFormat="1" ht="12.75"/>
    <row r="1285" s="33" customFormat="1" ht="12.75"/>
    <row r="1286" s="33" customFormat="1" ht="12.75"/>
    <row r="1287" s="33" customFormat="1" ht="12.75"/>
    <row r="1288" s="33" customFormat="1" ht="12.75"/>
    <row r="1289" s="33" customFormat="1" ht="12.75"/>
    <row r="1290" s="33" customFormat="1" ht="12.75"/>
    <row r="1291" s="33" customFormat="1" ht="12.75"/>
    <row r="1292" s="33" customFormat="1" ht="12.75"/>
    <row r="1293" s="33" customFormat="1" ht="12.75"/>
    <row r="1294" s="33" customFormat="1" ht="12.75"/>
    <row r="1295" s="33" customFormat="1" ht="12.75"/>
    <row r="1296" s="33" customFormat="1" ht="12.75"/>
    <row r="1297" s="33" customFormat="1" ht="12.75"/>
    <row r="1298" s="33" customFormat="1" ht="12.75"/>
    <row r="1299" s="33" customFormat="1" ht="12.75"/>
    <row r="1300" s="33" customFormat="1" ht="12.75"/>
    <row r="1301" s="33" customFormat="1" ht="12.75"/>
    <row r="1302" s="33" customFormat="1" ht="12.75"/>
    <row r="1303" s="33" customFormat="1" ht="12.75"/>
    <row r="1304" s="33" customFormat="1" ht="12.75"/>
    <row r="1305" s="33" customFormat="1" ht="12.75"/>
    <row r="1306" s="33" customFormat="1" ht="12.75"/>
    <row r="1307" s="33" customFormat="1" ht="12.75"/>
    <row r="1308" s="33" customFormat="1" ht="12.75"/>
    <row r="1309" s="33" customFormat="1" ht="12.75"/>
    <row r="1310" s="33" customFormat="1" ht="12.75"/>
  </sheetData>
  <pageMargins left="0.75" right="0.5" top="0.75" bottom="0.5" header="0.3" footer="0.3"/>
  <pageSetup paperSize="5" scale="95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1:T197"/>
  <sheetViews>
    <sheetView view="pageBreakPreview" topLeftCell="A12" zoomScale="90" zoomScaleSheetLayoutView="90" workbookViewId="0">
      <selection activeCell="N41" sqref="N41"/>
    </sheetView>
  </sheetViews>
  <sheetFormatPr defaultRowHeight="15"/>
  <cols>
    <col min="1" max="1" width="2" customWidth="1"/>
    <col min="2" max="2" width="1.42578125" customWidth="1"/>
    <col min="3" max="5" width="2.7109375" customWidth="1"/>
    <col min="6" max="6" width="1.7109375" customWidth="1"/>
    <col min="7" max="7" width="17.5703125" customWidth="1"/>
    <col min="8" max="8" width="1.5703125" hidden="1" customWidth="1"/>
    <col min="9" max="9" width="3.5703125" customWidth="1"/>
    <col min="10" max="10" width="5" customWidth="1"/>
    <col min="11" max="11" width="3.28515625" customWidth="1"/>
    <col min="12" max="13" width="5.42578125" customWidth="1"/>
    <col min="14" max="14" width="9.140625" customWidth="1"/>
    <col min="15" max="15" width="8.28515625" customWidth="1"/>
    <col min="16" max="16" width="16.140625" customWidth="1"/>
    <col min="17" max="17" width="14.7109375" customWidth="1"/>
    <col min="19" max="19" width="10.5703125" bestFit="1" customWidth="1"/>
    <col min="20" max="20" width="15.28515625" bestFit="1" customWidth="1"/>
  </cols>
  <sheetData>
    <row r="1" spans="1:17" s="28" customFormat="1" ht="18">
      <c r="A1" s="844" t="s">
        <v>6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  <c r="P1" s="844"/>
      <c r="Q1" s="844"/>
    </row>
    <row r="2" spans="1:17" s="28" customFormat="1" ht="18">
      <c r="A2" s="844" t="s">
        <v>292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</row>
    <row r="3" spans="1:17" s="28" customFormat="1" ht="18">
      <c r="A3" s="844" t="s">
        <v>211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</row>
    <row r="4" spans="1:17" s="28" customFormat="1" ht="18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</row>
    <row r="5" spans="1:17" s="28" customFormat="1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s="30" customFormat="1">
      <c r="A6" s="30" t="s">
        <v>7</v>
      </c>
      <c r="B6" s="31" t="s">
        <v>10</v>
      </c>
      <c r="C6" s="31"/>
      <c r="D6" s="31"/>
      <c r="E6" s="31"/>
      <c r="F6" s="31"/>
      <c r="G6" s="141"/>
      <c r="H6" s="141" t="s">
        <v>12</v>
      </c>
      <c r="I6" s="141" t="s">
        <v>12</v>
      </c>
      <c r="J6" s="845" t="s">
        <v>285</v>
      </c>
      <c r="K6" s="845"/>
      <c r="L6" s="845"/>
      <c r="M6" s="845"/>
      <c r="N6" s="845"/>
      <c r="O6" s="845"/>
      <c r="P6" s="845"/>
      <c r="Q6" s="845"/>
    </row>
    <row r="7" spans="1:17" s="30" customFormat="1">
      <c r="A7" s="30" t="s">
        <v>8</v>
      </c>
      <c r="B7" s="31" t="s">
        <v>11</v>
      </c>
      <c r="C7" s="31"/>
      <c r="D7" s="31"/>
      <c r="E7" s="31"/>
      <c r="F7" s="31"/>
      <c r="G7" s="141"/>
      <c r="H7" s="141" t="s">
        <v>12</v>
      </c>
      <c r="I7" s="141" t="s">
        <v>12</v>
      </c>
      <c r="J7" s="31" t="s">
        <v>487</v>
      </c>
      <c r="K7" s="31"/>
      <c r="L7" s="31"/>
      <c r="M7" s="31"/>
      <c r="N7" s="31"/>
      <c r="O7" s="31"/>
      <c r="P7" s="31"/>
      <c r="Q7" s="31"/>
    </row>
    <row r="8" spans="1:17" s="30" customFormat="1">
      <c r="A8" s="30" t="s">
        <v>9</v>
      </c>
      <c r="B8" s="31" t="s">
        <v>22</v>
      </c>
      <c r="C8" s="31"/>
      <c r="D8" s="31"/>
      <c r="E8" s="31"/>
      <c r="F8" s="31"/>
      <c r="G8" s="141"/>
      <c r="H8" s="141" t="s">
        <v>12</v>
      </c>
      <c r="I8" s="141" t="s">
        <v>12</v>
      </c>
      <c r="J8" s="845" t="s">
        <v>76</v>
      </c>
      <c r="K8" s="845"/>
      <c r="L8" s="845"/>
      <c r="M8" s="845"/>
      <c r="N8" s="845"/>
      <c r="O8" s="845"/>
      <c r="P8" s="845"/>
      <c r="Q8" s="845"/>
    </row>
    <row r="9" spans="1:17" s="30" customFormat="1">
      <c r="A9" s="34" t="s">
        <v>312</v>
      </c>
      <c r="B9" s="31" t="s">
        <v>216</v>
      </c>
      <c r="C9" s="31"/>
      <c r="D9" s="31"/>
      <c r="E9" s="31"/>
      <c r="F9" s="31"/>
      <c r="G9" s="141"/>
      <c r="H9" s="141"/>
      <c r="I9" s="141" t="s">
        <v>12</v>
      </c>
      <c r="J9" s="211" t="s">
        <v>288</v>
      </c>
      <c r="K9" s="211"/>
      <c r="L9" s="211"/>
      <c r="M9" s="211"/>
      <c r="N9" s="211"/>
      <c r="O9" s="211"/>
      <c r="P9" s="211"/>
      <c r="Q9" s="211"/>
    </row>
    <row r="10" spans="1:17" s="30" customFormat="1" ht="5.25" customHeight="1">
      <c r="A10" s="34"/>
      <c r="B10" s="31"/>
      <c r="C10" s="31"/>
      <c r="D10" s="31"/>
      <c r="E10" s="31"/>
      <c r="F10" s="31"/>
      <c r="G10" s="141"/>
      <c r="H10" s="141"/>
      <c r="I10" s="141"/>
      <c r="J10" s="211"/>
      <c r="K10" s="211"/>
      <c r="L10" s="211"/>
      <c r="M10" s="211"/>
      <c r="N10" s="211"/>
      <c r="O10" s="211"/>
      <c r="P10" s="211"/>
      <c r="Q10" s="211"/>
    </row>
    <row r="11" spans="1:17" s="30" customFormat="1">
      <c r="A11" s="38" t="s">
        <v>218</v>
      </c>
      <c r="B11" s="38"/>
      <c r="C11" s="38"/>
      <c r="D11" s="38"/>
      <c r="E11" s="38"/>
      <c r="F11" s="38"/>
      <c r="G11" s="141"/>
      <c r="H11" s="141"/>
      <c r="I11" s="141"/>
      <c r="J11" s="211"/>
      <c r="K11" s="211"/>
      <c r="L11" s="211"/>
      <c r="M11" s="211"/>
      <c r="N11" s="211"/>
      <c r="O11" s="211"/>
      <c r="P11" s="211"/>
      <c r="Q11" s="211"/>
    </row>
    <row r="12" spans="1:17" s="30" customFormat="1" ht="4.5" customHeight="1"/>
    <row r="13" spans="1:17" s="33" customFormat="1" ht="15.75" customHeight="1">
      <c r="A13" s="819" t="s">
        <v>0</v>
      </c>
      <c r="B13" s="820"/>
      <c r="C13" s="820"/>
      <c r="D13" s="820"/>
      <c r="E13" s="821"/>
      <c r="F13" s="819" t="s">
        <v>1</v>
      </c>
      <c r="G13" s="820"/>
      <c r="H13" s="820"/>
      <c r="I13" s="820"/>
      <c r="J13" s="820"/>
      <c r="K13" s="820"/>
      <c r="L13" s="820"/>
      <c r="M13" s="821"/>
      <c r="N13" s="825" t="s">
        <v>2</v>
      </c>
      <c r="O13" s="825" t="s">
        <v>47</v>
      </c>
      <c r="P13" s="201" t="s">
        <v>4</v>
      </c>
      <c r="Q13" s="825" t="s">
        <v>3</v>
      </c>
    </row>
    <row r="14" spans="1:17" s="33" customFormat="1" ht="16.5" customHeight="1">
      <c r="A14" s="822"/>
      <c r="B14" s="823"/>
      <c r="C14" s="823"/>
      <c r="D14" s="823"/>
      <c r="E14" s="824"/>
      <c r="F14" s="822"/>
      <c r="G14" s="823"/>
      <c r="H14" s="823"/>
      <c r="I14" s="823"/>
      <c r="J14" s="823"/>
      <c r="K14" s="823"/>
      <c r="L14" s="823"/>
      <c r="M14" s="824"/>
      <c r="N14" s="826"/>
      <c r="O14" s="826"/>
      <c r="P14" s="202" t="s">
        <v>5</v>
      </c>
      <c r="Q14" s="826"/>
    </row>
    <row r="15" spans="1:17" s="33" customFormat="1" ht="12.75">
      <c r="A15" s="827">
        <v>1</v>
      </c>
      <c r="B15" s="828"/>
      <c r="C15" s="828"/>
      <c r="D15" s="828"/>
      <c r="E15" s="829"/>
      <c r="F15" s="205"/>
      <c r="G15" s="206">
        <v>2</v>
      </c>
      <c r="H15" s="206"/>
      <c r="I15" s="206"/>
      <c r="J15" s="206"/>
      <c r="K15" s="206"/>
      <c r="L15" s="206"/>
      <c r="M15" s="207"/>
      <c r="N15" s="46">
        <v>3</v>
      </c>
      <c r="O15" s="46"/>
      <c r="P15" s="46">
        <v>4</v>
      </c>
      <c r="Q15" s="46">
        <v>5</v>
      </c>
    </row>
    <row r="16" spans="1:17" s="37" customFormat="1" ht="20.25" customHeight="1">
      <c r="A16" s="842">
        <v>2</v>
      </c>
      <c r="B16" s="843"/>
      <c r="C16" s="208">
        <v>7</v>
      </c>
      <c r="D16" s="208">
        <v>2</v>
      </c>
      <c r="E16" s="208">
        <v>2</v>
      </c>
      <c r="F16" s="56" t="s">
        <v>14</v>
      </c>
      <c r="G16" s="209" t="s">
        <v>48</v>
      </c>
      <c r="H16" s="57"/>
      <c r="I16" s="57"/>
      <c r="J16" s="57"/>
      <c r="K16" s="57"/>
      <c r="L16" s="57"/>
      <c r="M16" s="58"/>
      <c r="N16" s="59"/>
      <c r="O16" s="59"/>
      <c r="P16" s="59"/>
      <c r="Q16" s="60">
        <f>SUM(Q20+Q26+Q31)+Q17</f>
        <v>2736500</v>
      </c>
    </row>
    <row r="17" spans="1:20" s="37" customFormat="1" ht="12.75" customHeight="1">
      <c r="A17" s="217"/>
      <c r="B17" s="218"/>
      <c r="C17" s="131"/>
      <c r="D17" s="131"/>
      <c r="E17" s="131"/>
      <c r="F17" s="191"/>
      <c r="G17" s="170" t="s">
        <v>504</v>
      </c>
      <c r="H17" s="192"/>
      <c r="I17" s="192"/>
      <c r="J17" s="192"/>
      <c r="K17" s="192"/>
      <c r="L17" s="192"/>
      <c r="M17" s="193"/>
      <c r="N17" s="171"/>
      <c r="O17" s="171"/>
      <c r="P17" s="171"/>
      <c r="Q17" s="172">
        <f>Q18</f>
        <v>1500000</v>
      </c>
    </row>
    <row r="18" spans="1:20" s="37" customFormat="1" ht="12.75" customHeight="1">
      <c r="A18" s="217"/>
      <c r="B18" s="218"/>
      <c r="C18" s="131"/>
      <c r="D18" s="131"/>
      <c r="E18" s="131"/>
      <c r="F18" s="191"/>
      <c r="G18" s="197" t="s">
        <v>505</v>
      </c>
      <c r="H18" s="192"/>
      <c r="I18" s="192"/>
      <c r="J18" s="192"/>
      <c r="K18" s="192"/>
      <c r="L18" s="192"/>
      <c r="M18" s="193"/>
      <c r="N18" s="131">
        <v>1</v>
      </c>
      <c r="O18" s="131" t="s">
        <v>506</v>
      </c>
      <c r="P18" s="198">
        <v>1500000</v>
      </c>
      <c r="Q18" s="172">
        <f>N18*P18</f>
        <v>1500000</v>
      </c>
    </row>
    <row r="19" spans="1:20" s="37" customFormat="1" ht="12.75" customHeight="1">
      <c r="A19" s="217"/>
      <c r="B19" s="218"/>
      <c r="C19" s="131"/>
      <c r="D19" s="131"/>
      <c r="E19" s="131"/>
      <c r="F19" s="191"/>
      <c r="G19" s="170"/>
      <c r="H19" s="192"/>
      <c r="I19" s="192"/>
      <c r="J19" s="192"/>
      <c r="K19" s="192"/>
      <c r="L19" s="192"/>
      <c r="M19" s="193"/>
      <c r="N19" s="171"/>
      <c r="O19" s="171"/>
      <c r="P19" s="171"/>
      <c r="Q19" s="172"/>
    </row>
    <row r="20" spans="1:20" s="33" customFormat="1" ht="12.75">
      <c r="A20" s="212"/>
      <c r="B20" s="213"/>
      <c r="C20" s="216"/>
      <c r="D20" s="216"/>
      <c r="E20" s="216"/>
      <c r="F20" s="69" t="s">
        <v>14</v>
      </c>
      <c r="G20" s="62" t="s">
        <v>489</v>
      </c>
      <c r="H20" s="63"/>
      <c r="I20" s="64"/>
      <c r="J20" s="64"/>
      <c r="K20" s="64"/>
      <c r="L20" s="64"/>
      <c r="M20" s="213"/>
      <c r="N20" s="216"/>
      <c r="O20" s="216"/>
      <c r="P20" s="66"/>
      <c r="Q20" s="67">
        <f>Q21</f>
        <v>1050000</v>
      </c>
    </row>
    <row r="21" spans="1:20" s="33" customFormat="1" ht="12.75" customHeight="1">
      <c r="A21" s="834"/>
      <c r="B21" s="835"/>
      <c r="C21" s="216"/>
      <c r="D21" s="216"/>
      <c r="E21" s="216"/>
      <c r="F21" s="68"/>
      <c r="G21" s="840" t="s">
        <v>490</v>
      </c>
      <c r="H21" s="840"/>
      <c r="I21" s="840"/>
      <c r="J21" s="840"/>
      <c r="K21" s="840"/>
      <c r="L21" s="840"/>
      <c r="M21" s="841"/>
      <c r="N21" s="216"/>
      <c r="O21" s="216"/>
      <c r="P21" s="66"/>
      <c r="Q21" s="66">
        <f>SUM(Q22:Q23)</f>
        <v>1050000</v>
      </c>
    </row>
    <row r="22" spans="1:20" s="33" customFormat="1" ht="12.75">
      <c r="A22" s="834"/>
      <c r="B22" s="835"/>
      <c r="C22" s="216"/>
      <c r="D22" s="216"/>
      <c r="E22" s="216"/>
      <c r="F22" s="212"/>
      <c r="G22" s="63" t="s">
        <v>52</v>
      </c>
      <c r="H22" s="63"/>
      <c r="I22" s="63">
        <v>30</v>
      </c>
      <c r="J22" s="63" t="s">
        <v>53</v>
      </c>
      <c r="K22" s="64" t="s">
        <v>20</v>
      </c>
      <c r="L22" s="64">
        <v>1</v>
      </c>
      <c r="M22" s="213" t="s">
        <v>212</v>
      </c>
      <c r="N22" s="216">
        <f>I22*L22</f>
        <v>30</v>
      </c>
      <c r="O22" s="216" t="s">
        <v>53</v>
      </c>
      <c r="P22" s="66">
        <v>25000</v>
      </c>
      <c r="Q22" s="66">
        <f>N22*P22</f>
        <v>750000</v>
      </c>
    </row>
    <row r="23" spans="1:20" s="33" customFormat="1" ht="12.75">
      <c r="A23" s="834"/>
      <c r="B23" s="835"/>
      <c r="C23" s="216"/>
      <c r="D23" s="216"/>
      <c r="E23" s="216"/>
      <c r="F23" s="212"/>
      <c r="G23" s="63" t="s">
        <v>54</v>
      </c>
      <c r="H23" s="63"/>
      <c r="I23" s="63">
        <v>30</v>
      </c>
      <c r="J23" s="63" t="s">
        <v>53</v>
      </c>
      <c r="K23" s="64" t="s">
        <v>20</v>
      </c>
      <c r="L23" s="64">
        <v>1</v>
      </c>
      <c r="M23" s="213" t="s">
        <v>212</v>
      </c>
      <c r="N23" s="216">
        <f>I23*L23</f>
        <v>30</v>
      </c>
      <c r="O23" s="216" t="s">
        <v>53</v>
      </c>
      <c r="P23" s="66">
        <v>10000</v>
      </c>
      <c r="Q23" s="66">
        <f>N23*P23</f>
        <v>300000</v>
      </c>
    </row>
    <row r="24" spans="1:20" s="33" customFormat="1" ht="7.5" customHeight="1">
      <c r="A24" s="834"/>
      <c r="B24" s="835"/>
      <c r="C24" s="216"/>
      <c r="D24" s="216"/>
      <c r="E24" s="216"/>
      <c r="F24" s="212"/>
      <c r="G24" s="63"/>
      <c r="H24" s="63"/>
      <c r="I24" s="63"/>
      <c r="J24" s="63"/>
      <c r="K24" s="64"/>
      <c r="L24" s="64"/>
      <c r="M24" s="213"/>
      <c r="N24" s="216"/>
      <c r="O24" s="216"/>
      <c r="P24" s="66"/>
      <c r="Q24" s="66"/>
    </row>
    <row r="25" spans="1:20" s="33" customFormat="1" ht="12" customHeight="1">
      <c r="A25" s="212"/>
      <c r="B25" s="213"/>
      <c r="C25" s="216"/>
      <c r="D25" s="216"/>
      <c r="E25" s="216"/>
      <c r="F25" s="212"/>
      <c r="G25" s="63"/>
      <c r="H25" s="63"/>
      <c r="I25" s="63"/>
      <c r="J25" s="63"/>
      <c r="K25" s="64"/>
      <c r="L25" s="64"/>
      <c r="M25" s="213"/>
      <c r="N25" s="216"/>
      <c r="O25" s="216"/>
      <c r="P25" s="66"/>
      <c r="Q25" s="66"/>
    </row>
    <row r="26" spans="1:20" s="33" customFormat="1" ht="12" customHeight="1">
      <c r="A26" s="212"/>
      <c r="B26" s="213"/>
      <c r="C26" s="216"/>
      <c r="D26" s="216"/>
      <c r="E26" s="216"/>
      <c r="F26" s="68" t="s">
        <v>14</v>
      </c>
      <c r="G26" s="832" t="s">
        <v>509</v>
      </c>
      <c r="H26" s="832"/>
      <c r="I26" s="832"/>
      <c r="J26" s="832"/>
      <c r="K26" s="832"/>
      <c r="L26" s="832"/>
      <c r="M26" s="833"/>
      <c r="N26" s="216"/>
      <c r="O26" s="216"/>
      <c r="P26" s="66"/>
      <c r="Q26" s="67">
        <f>SUM(Q27:Q29)</f>
        <v>86500</v>
      </c>
    </row>
    <row r="27" spans="1:20" s="33" customFormat="1" ht="12" customHeight="1">
      <c r="A27" s="212"/>
      <c r="B27" s="213"/>
      <c r="C27" s="216"/>
      <c r="D27" s="216"/>
      <c r="E27" s="216"/>
      <c r="F27" s="212"/>
      <c r="G27" s="63" t="s">
        <v>424</v>
      </c>
      <c r="H27" s="63"/>
      <c r="I27" s="63"/>
      <c r="J27" s="63"/>
      <c r="K27" s="64"/>
      <c r="L27" s="64"/>
      <c r="M27" s="213"/>
      <c r="N27" s="216">
        <v>1</v>
      </c>
      <c r="O27" s="216" t="s">
        <v>191</v>
      </c>
      <c r="P27" s="66">
        <v>49000</v>
      </c>
      <c r="Q27" s="66">
        <f>N27*P27</f>
        <v>49000</v>
      </c>
    </row>
    <row r="28" spans="1:20" s="33" customFormat="1" ht="12" customHeight="1">
      <c r="A28" s="212"/>
      <c r="B28" s="213"/>
      <c r="C28" s="216"/>
      <c r="D28" s="216"/>
      <c r="E28" s="216"/>
      <c r="F28" s="212"/>
      <c r="G28" s="63" t="s">
        <v>476</v>
      </c>
      <c r="H28" s="63"/>
      <c r="I28" s="63"/>
      <c r="J28" s="63"/>
      <c r="K28" s="64"/>
      <c r="L28" s="64"/>
      <c r="M28" s="213"/>
      <c r="N28" s="216">
        <v>1</v>
      </c>
      <c r="O28" s="216" t="s">
        <v>53</v>
      </c>
      <c r="P28" s="66">
        <v>22500</v>
      </c>
      <c r="Q28" s="66">
        <f>N28*P28</f>
        <v>22500</v>
      </c>
    </row>
    <row r="29" spans="1:20" s="33" customFormat="1" ht="12" customHeight="1">
      <c r="A29" s="212"/>
      <c r="B29" s="213"/>
      <c r="C29" s="216"/>
      <c r="D29" s="216"/>
      <c r="E29" s="216"/>
      <c r="F29" s="212"/>
      <c r="G29" s="63" t="s">
        <v>32</v>
      </c>
      <c r="H29" s="63"/>
      <c r="I29" s="63"/>
      <c r="J29" s="63"/>
      <c r="K29" s="64"/>
      <c r="L29" s="64"/>
      <c r="M29" s="213"/>
      <c r="N29" s="216">
        <v>1</v>
      </c>
      <c r="O29" s="216" t="s">
        <v>53</v>
      </c>
      <c r="P29" s="66">
        <v>15000</v>
      </c>
      <c r="Q29" s="66">
        <f>N29*P29</f>
        <v>15000</v>
      </c>
    </row>
    <row r="30" spans="1:20" s="33" customFormat="1" ht="12" customHeight="1">
      <c r="A30" s="212"/>
      <c r="B30" s="213"/>
      <c r="C30" s="216"/>
      <c r="D30" s="216"/>
      <c r="E30" s="216"/>
      <c r="F30" s="212"/>
      <c r="G30" s="63"/>
      <c r="H30" s="63"/>
      <c r="I30" s="63"/>
      <c r="J30" s="63"/>
      <c r="K30" s="64"/>
      <c r="L30" s="64"/>
      <c r="M30" s="213"/>
      <c r="N30" s="216"/>
      <c r="O30" s="216"/>
      <c r="P30" s="66"/>
      <c r="Q30" s="66"/>
      <c r="T30" s="54">
        <f>P29+360</f>
        <v>15360</v>
      </c>
    </row>
    <row r="31" spans="1:20" s="33" customFormat="1" ht="12.75">
      <c r="A31" s="834"/>
      <c r="B31" s="835"/>
      <c r="C31" s="216"/>
      <c r="D31" s="216"/>
      <c r="E31" s="216"/>
      <c r="F31" s="69" t="s">
        <v>14</v>
      </c>
      <c r="G31" s="62" t="s">
        <v>68</v>
      </c>
      <c r="H31" s="63"/>
      <c r="I31" s="63"/>
      <c r="J31" s="63"/>
      <c r="K31" s="64"/>
      <c r="L31" s="64"/>
      <c r="M31" s="213"/>
      <c r="N31" s="216"/>
      <c r="O31" s="216"/>
      <c r="P31" s="70"/>
      <c r="Q31" s="67">
        <f>SUM(Q32:Q33)</f>
        <v>100000</v>
      </c>
    </row>
    <row r="32" spans="1:20" s="33" customFormat="1" ht="12.75">
      <c r="A32" s="834"/>
      <c r="B32" s="835"/>
      <c r="C32" s="216"/>
      <c r="D32" s="216"/>
      <c r="E32" s="216"/>
      <c r="F32" s="212"/>
      <c r="G32" s="63" t="s">
        <v>69</v>
      </c>
      <c r="H32" s="63"/>
      <c r="I32" s="63"/>
      <c r="J32" s="63"/>
      <c r="K32" s="63"/>
      <c r="L32" s="63"/>
      <c r="M32" s="71"/>
      <c r="N32" s="216">
        <v>250</v>
      </c>
      <c r="O32" s="216" t="s">
        <v>38</v>
      </c>
      <c r="P32" s="200">
        <v>300</v>
      </c>
      <c r="Q32" s="66">
        <f>SUM(N32*P32)</f>
        <v>75000</v>
      </c>
    </row>
    <row r="33" spans="1:20" s="33" customFormat="1" ht="12.75">
      <c r="A33" s="212"/>
      <c r="B33" s="213"/>
      <c r="C33" s="216"/>
      <c r="D33" s="216"/>
      <c r="E33" s="216"/>
      <c r="F33" s="214"/>
      <c r="G33" s="169" t="s">
        <v>196</v>
      </c>
      <c r="H33" s="169"/>
      <c r="I33" s="169"/>
      <c r="J33" s="169"/>
      <c r="K33" s="169"/>
      <c r="L33" s="169"/>
      <c r="M33" s="194"/>
      <c r="N33" s="85">
        <v>5</v>
      </c>
      <c r="O33" s="85" t="s">
        <v>296</v>
      </c>
      <c r="P33" s="199">
        <v>5000</v>
      </c>
      <c r="Q33" s="66">
        <f>SUM(N33*P33)</f>
        <v>25000</v>
      </c>
    </row>
    <row r="34" spans="1:20" s="33" customFormat="1" ht="12.75">
      <c r="A34" s="214"/>
      <c r="B34" s="215"/>
      <c r="C34" s="85"/>
      <c r="D34" s="85"/>
      <c r="E34" s="85"/>
      <c r="F34" s="214"/>
      <c r="G34" s="169"/>
      <c r="H34" s="169"/>
      <c r="I34" s="169"/>
      <c r="J34" s="169"/>
      <c r="K34" s="169"/>
      <c r="L34" s="169"/>
      <c r="M34" s="194"/>
      <c r="N34" s="85"/>
      <c r="O34" s="85"/>
      <c r="P34" s="199"/>
      <c r="Q34" s="196"/>
    </row>
    <row r="35" spans="1:20" s="33" customFormat="1" ht="12.75">
      <c r="A35" s="836">
        <v>2</v>
      </c>
      <c r="B35" s="837"/>
      <c r="C35" s="203">
        <v>7</v>
      </c>
      <c r="D35" s="203">
        <v>2</v>
      </c>
      <c r="E35" s="203">
        <v>3</v>
      </c>
      <c r="F35" s="219" t="s">
        <v>14</v>
      </c>
      <c r="G35" s="169" t="s">
        <v>60</v>
      </c>
      <c r="H35" s="169"/>
      <c r="I35" s="169"/>
      <c r="J35" s="169"/>
      <c r="K35" s="169"/>
      <c r="L35" s="169"/>
      <c r="M35" s="194"/>
      <c r="N35" s="85"/>
      <c r="O35" s="85"/>
      <c r="P35" s="199"/>
      <c r="Q35" s="221">
        <f>Q36</f>
        <v>14000000</v>
      </c>
      <c r="T35" s="50">
        <f>'RAB 2.2.7'!Q43+'RAB 2.2.7'!T41</f>
        <v>-1680368</v>
      </c>
    </row>
    <row r="36" spans="1:20" s="33" customFormat="1" ht="12.75">
      <c r="A36" s="212"/>
      <c r="B36" s="213"/>
      <c r="C36" s="216"/>
      <c r="D36" s="216"/>
      <c r="E36" s="216"/>
      <c r="F36" s="214"/>
      <c r="G36" s="220" t="s">
        <v>526</v>
      </c>
      <c r="H36" s="169"/>
      <c r="I36" s="169"/>
      <c r="J36" s="169"/>
      <c r="K36" s="169"/>
      <c r="L36" s="169"/>
      <c r="M36" s="194"/>
      <c r="N36" s="85">
        <v>1</v>
      </c>
      <c r="O36" s="85" t="s">
        <v>435</v>
      </c>
      <c r="P36" s="199">
        <v>14000000</v>
      </c>
      <c r="Q36" s="196">
        <f>N36*P36</f>
        <v>14000000</v>
      </c>
      <c r="T36" s="50">
        <f>Sheet1!H33</f>
        <v>-20316868</v>
      </c>
    </row>
    <row r="37" spans="1:20" s="33" customFormat="1" ht="12.75">
      <c r="A37" s="212"/>
      <c r="B37" s="213"/>
      <c r="C37" s="216"/>
      <c r="D37" s="216"/>
      <c r="E37" s="216"/>
      <c r="F37" s="214"/>
      <c r="G37" s="169"/>
      <c r="H37" s="169"/>
      <c r="I37" s="169"/>
      <c r="J37" s="169"/>
      <c r="K37" s="169"/>
      <c r="L37" s="169"/>
      <c r="M37" s="194"/>
      <c r="N37" s="85"/>
      <c r="O37" s="85"/>
      <c r="P37" s="195"/>
      <c r="Q37" s="196"/>
    </row>
    <row r="38" spans="1:20" s="33" customFormat="1" ht="15" customHeight="1">
      <c r="A38" s="838"/>
      <c r="B38" s="839"/>
      <c r="C38" s="204"/>
      <c r="D38" s="204"/>
      <c r="E38" s="204"/>
      <c r="F38" s="827" t="s">
        <v>163</v>
      </c>
      <c r="G38" s="828"/>
      <c r="H38" s="828"/>
      <c r="I38" s="828"/>
      <c r="J38" s="828"/>
      <c r="K38" s="828"/>
      <c r="L38" s="828"/>
      <c r="M38" s="829"/>
      <c r="N38" s="35"/>
      <c r="O38" s="35"/>
      <c r="P38" s="35"/>
      <c r="Q38" s="49">
        <f>Q16+Q35</f>
        <v>16736500</v>
      </c>
      <c r="T38" s="50">
        <f>14000000-T36</f>
        <v>34316868</v>
      </c>
    </row>
    <row r="39" spans="1:20" s="33" customFormat="1" ht="12.7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3"/>
      <c r="T39" s="50">
        <f>T35-Q38</f>
        <v>-18416868</v>
      </c>
    </row>
    <row r="40" spans="1:20" s="33" customFormat="1" ht="12.75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52"/>
    </row>
    <row r="41" spans="1:20" s="33" customFormat="1" ht="12.75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52"/>
    </row>
    <row r="42" spans="1:20" s="33" customFormat="1" ht="12.75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52"/>
    </row>
    <row r="43" spans="1:20" s="33" customFormat="1" ht="12.75">
      <c r="A43" s="75"/>
      <c r="B43" s="76"/>
      <c r="C43" s="76"/>
      <c r="D43" s="76"/>
      <c r="E43" s="76"/>
      <c r="F43" s="76"/>
      <c r="G43" s="77" t="s">
        <v>168</v>
      </c>
      <c r="H43" s="76"/>
      <c r="I43" s="76"/>
      <c r="J43" s="76"/>
      <c r="K43" s="76"/>
      <c r="L43" s="76"/>
      <c r="M43" s="76"/>
      <c r="N43" s="76"/>
      <c r="O43" s="76"/>
      <c r="P43" s="77" t="s">
        <v>193</v>
      </c>
      <c r="Q43" s="52"/>
    </row>
    <row r="44" spans="1:20" s="33" customFormat="1" ht="12.75">
      <c r="A44" s="75"/>
      <c r="B44" s="76"/>
      <c r="C44" s="76"/>
      <c r="D44" s="76"/>
      <c r="E44" s="76"/>
      <c r="F44" s="76"/>
      <c r="G44" s="77" t="s">
        <v>314</v>
      </c>
      <c r="H44" s="76"/>
      <c r="I44" s="76"/>
      <c r="J44" s="76"/>
      <c r="K44" s="76"/>
      <c r="L44" s="76"/>
      <c r="M44" s="76"/>
      <c r="N44" s="76"/>
      <c r="O44" s="76"/>
      <c r="P44" s="76"/>
      <c r="Q44" s="52"/>
    </row>
    <row r="45" spans="1:20" s="33" customFormat="1" ht="12.75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52"/>
    </row>
    <row r="46" spans="1:20" s="33" customFormat="1" ht="12.75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52"/>
    </row>
    <row r="47" spans="1:20" s="33" customFormat="1" ht="12.75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52"/>
    </row>
    <row r="48" spans="1:20" s="33" customFormat="1" ht="12.75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52"/>
    </row>
    <row r="49" spans="1:17" s="33" customFormat="1" ht="12.75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52"/>
    </row>
    <row r="50" spans="1:17" s="33" customFormat="1" ht="12.75">
      <c r="A50" s="75"/>
      <c r="B50" s="76"/>
      <c r="C50" s="76"/>
      <c r="D50" s="76"/>
      <c r="E50" s="76"/>
      <c r="F50" s="76"/>
      <c r="G50" s="77" t="s">
        <v>304</v>
      </c>
      <c r="H50" s="76"/>
      <c r="I50" s="76"/>
      <c r="J50" s="76"/>
      <c r="K50" s="76"/>
      <c r="L50" s="76"/>
      <c r="M50" s="76"/>
      <c r="N50" s="76"/>
      <c r="O50" s="76"/>
      <c r="P50" s="77" t="s">
        <v>305</v>
      </c>
      <c r="Q50" s="52"/>
    </row>
    <row r="51" spans="1:17" s="33" customFormat="1" ht="12.75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80"/>
    </row>
    <row r="52" spans="1:17" s="33" customFormat="1" ht="12.75"/>
    <row r="53" spans="1:17" s="33" customFormat="1" ht="12.75"/>
    <row r="54" spans="1:17" s="33" customFormat="1" ht="12.75"/>
    <row r="55" spans="1:17" s="33" customFormat="1" ht="12.75"/>
    <row r="56" spans="1:17" s="33" customFormat="1" ht="12.75"/>
    <row r="57" spans="1:17" s="33" customFormat="1" ht="12.75"/>
    <row r="58" spans="1:17" s="33" customFormat="1" ht="12.75"/>
    <row r="59" spans="1:17" s="33" customFormat="1" ht="12.75"/>
    <row r="60" spans="1:17" s="33" customFormat="1" ht="12.75"/>
    <row r="61" spans="1:17" s="33" customFormat="1" ht="12.75"/>
    <row r="62" spans="1:17" s="33" customFormat="1" ht="12.75"/>
    <row r="63" spans="1:17" s="33" customFormat="1" ht="12.75"/>
    <row r="64" spans="1:17" s="33" customFormat="1" ht="12.75"/>
    <row r="65" s="33" customFormat="1" ht="12.75"/>
    <row r="66" s="33" customFormat="1" ht="12.75"/>
    <row r="67" s="33" customFormat="1" ht="12.75"/>
    <row r="68" s="33" customFormat="1" ht="12.75"/>
    <row r="69" s="33" customFormat="1" ht="12.75"/>
    <row r="70" s="30" customFormat="1"/>
    <row r="71" s="30" customFormat="1"/>
    <row r="72" s="30" customFormat="1"/>
    <row r="73" s="30" customFormat="1"/>
    <row r="74" s="30" customFormat="1"/>
    <row r="75" s="30" customFormat="1"/>
    <row r="76" s="30" customFormat="1"/>
    <row r="77" s="30" customFormat="1"/>
    <row r="78" s="30" customFormat="1"/>
    <row r="79" s="30" customFormat="1"/>
    <row r="80" s="30" customFormat="1"/>
    <row r="81" s="28" customFormat="1"/>
    <row r="82" s="28" customFormat="1"/>
    <row r="83" s="28" customFormat="1"/>
    <row r="84" s="28" customFormat="1"/>
    <row r="85" s="28" customFormat="1"/>
    <row r="86" s="28" customFormat="1"/>
    <row r="87" s="28" customFormat="1"/>
    <row r="88" s="28" customFormat="1"/>
    <row r="89" s="28" customFormat="1"/>
    <row r="90" s="28" customFormat="1"/>
    <row r="91" s="28" customFormat="1"/>
    <row r="92" s="28" customFormat="1"/>
    <row r="93" s="28" customFormat="1"/>
    <row r="94" s="28" customFormat="1"/>
    <row r="95" s="28" customFormat="1"/>
    <row r="96" s="28" customFormat="1"/>
    <row r="97" s="28" customFormat="1"/>
    <row r="98" s="28" customFormat="1"/>
    <row r="99" s="28" customFormat="1"/>
    <row r="100" s="28" customFormat="1"/>
    <row r="101" s="28" customFormat="1"/>
    <row r="102" s="28" customFormat="1"/>
    <row r="103" s="28" customFormat="1"/>
    <row r="104" s="28" customFormat="1"/>
    <row r="105" s="28" customFormat="1"/>
    <row r="106" s="28" customFormat="1"/>
    <row r="107" s="28" customFormat="1"/>
    <row r="108" s="28" customFormat="1"/>
    <row r="109" s="28" customFormat="1"/>
    <row r="110" s="28" customFormat="1"/>
    <row r="111" s="28" customFormat="1"/>
    <row r="112" s="28" customFormat="1"/>
    <row r="113" s="28" customFormat="1"/>
    <row r="114" s="28" customFormat="1"/>
    <row r="115" s="28" customFormat="1"/>
    <row r="116" s="28" customFormat="1"/>
    <row r="117" s="28" customFormat="1"/>
    <row r="118" s="28" customFormat="1"/>
    <row r="119" s="28" customFormat="1"/>
    <row r="120" s="28" customFormat="1"/>
    <row r="121" s="28" customFormat="1"/>
    <row r="122" s="28" customFormat="1"/>
    <row r="123" s="28" customFormat="1"/>
    <row r="124" s="28" customFormat="1"/>
    <row r="125" s="28" customFormat="1"/>
    <row r="126" s="28" customFormat="1"/>
    <row r="127" s="28" customFormat="1"/>
    <row r="128" s="28" customFormat="1"/>
    <row r="129" s="28" customFormat="1"/>
    <row r="130" s="28" customFormat="1"/>
    <row r="131" s="28" customFormat="1"/>
    <row r="132" s="28" customFormat="1"/>
    <row r="133" s="28" customFormat="1"/>
    <row r="134" s="28" customFormat="1"/>
    <row r="135" s="28" customFormat="1"/>
    <row r="136" s="28" customFormat="1"/>
    <row r="137" s="28" customFormat="1"/>
    <row r="138" s="28" customFormat="1"/>
    <row r="139" s="28" customFormat="1"/>
    <row r="140" s="28" customFormat="1"/>
    <row r="141" s="28" customFormat="1"/>
    <row r="142" s="28" customFormat="1"/>
    <row r="143" s="28" customFormat="1"/>
    <row r="144" s="28" customFormat="1"/>
    <row r="145" s="28" customFormat="1"/>
    <row r="146" s="28" customFormat="1"/>
    <row r="147" s="28" customFormat="1"/>
    <row r="148" s="28" customFormat="1"/>
    <row r="149" s="28" customFormat="1"/>
    <row r="150" s="28" customFormat="1"/>
    <row r="151" s="28" customFormat="1"/>
    <row r="152" s="28" customFormat="1"/>
    <row r="153" s="28" customFormat="1"/>
    <row r="154" s="28" customFormat="1"/>
    <row r="155" s="28" customFormat="1"/>
    <row r="156" s="28" customFormat="1"/>
    <row r="157" s="28" customFormat="1"/>
    <row r="158" s="28" customFormat="1"/>
    <row r="159" s="28" customFormat="1"/>
    <row r="160" s="28" customFormat="1"/>
    <row r="161" s="28" customFormat="1"/>
    <row r="162" s="28" customFormat="1"/>
    <row r="163" s="28" customFormat="1"/>
    <row r="164" s="28" customFormat="1"/>
    <row r="165" s="28" customFormat="1"/>
    <row r="166" s="28" customFormat="1"/>
    <row r="167" s="28" customFormat="1"/>
    <row r="168" s="28" customFormat="1"/>
    <row r="169" s="28" customFormat="1"/>
    <row r="170" s="28" customFormat="1"/>
    <row r="171" s="28" customFormat="1"/>
    <row r="172" s="28" customFormat="1"/>
    <row r="173" s="28" customFormat="1"/>
    <row r="174" s="28" customFormat="1"/>
    <row r="175" s="28" customFormat="1"/>
    <row r="176" s="28" customFormat="1"/>
    <row r="177" s="28" customFormat="1"/>
    <row r="178" s="28" customFormat="1"/>
    <row r="179" s="28" customFormat="1"/>
    <row r="180" s="28" customFormat="1"/>
    <row r="181" s="28" customFormat="1"/>
    <row r="182" s="28" customFormat="1"/>
    <row r="183" s="28" customFormat="1"/>
    <row r="184" s="28" customFormat="1"/>
    <row r="185" s="28" customFormat="1"/>
    <row r="186" s="28" customFormat="1"/>
    <row r="187" s="28" customFormat="1"/>
    <row r="188" s="28" customFormat="1"/>
    <row r="189" s="28" customFormat="1"/>
    <row r="190" s="28" customFormat="1"/>
    <row r="191" s="28" customFormat="1"/>
    <row r="192" s="28" customFormat="1"/>
    <row r="193" s="28" customFormat="1"/>
    <row r="194" s="28" customFormat="1"/>
    <row r="195" s="28" customFormat="1"/>
    <row r="196" s="28" customFormat="1"/>
    <row r="197" s="28" customFormat="1"/>
  </sheetData>
  <mergeCells count="23">
    <mergeCell ref="A15:E15"/>
    <mergeCell ref="A16:B16"/>
    <mergeCell ref="A1:Q1"/>
    <mergeCell ref="A2:Q2"/>
    <mergeCell ref="A3:Q3"/>
    <mergeCell ref="J6:Q6"/>
    <mergeCell ref="J8:Q8"/>
    <mergeCell ref="A13:E14"/>
    <mergeCell ref="F13:M14"/>
    <mergeCell ref="N13:N14"/>
    <mergeCell ref="O13:O14"/>
    <mergeCell ref="Q13:Q14"/>
    <mergeCell ref="A21:B21"/>
    <mergeCell ref="G21:M21"/>
    <mergeCell ref="A22:B22"/>
    <mergeCell ref="A23:B23"/>
    <mergeCell ref="A24:B24"/>
    <mergeCell ref="G26:M26"/>
    <mergeCell ref="A31:B31"/>
    <mergeCell ref="A32:B32"/>
    <mergeCell ref="A35:B35"/>
    <mergeCell ref="A38:B38"/>
    <mergeCell ref="F38:M38"/>
  </mergeCells>
  <pageMargins left="0.75" right="0.5" top="1" bottom="0.5" header="0.28000000000000003" footer="0.31496062992126"/>
  <pageSetup paperSize="5" scale="9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1"/>
  </sheetPr>
  <dimension ref="A1:W233"/>
  <sheetViews>
    <sheetView view="pageBreakPreview" topLeftCell="C1" zoomScaleSheetLayoutView="100" workbookViewId="0">
      <selection activeCell="M24" sqref="M24"/>
    </sheetView>
  </sheetViews>
  <sheetFormatPr defaultRowHeight="15"/>
  <cols>
    <col min="1" max="2" width="0" hidden="1" customWidth="1"/>
    <col min="3" max="3" width="2" customWidth="1"/>
    <col min="4" max="4" width="0.85546875" customWidth="1"/>
    <col min="5" max="7" width="2.7109375" customWidth="1"/>
    <col min="8" max="8" width="1.42578125" customWidth="1"/>
    <col min="9" max="9" width="18.85546875" customWidth="1"/>
    <col min="10" max="10" width="1.5703125" hidden="1" customWidth="1"/>
    <col min="11" max="11" width="2.28515625" customWidth="1"/>
    <col min="12" max="14" width="4.7109375" customWidth="1"/>
    <col min="15" max="15" width="4.42578125" customWidth="1"/>
    <col min="16" max="16" width="10" customWidth="1"/>
    <col min="17" max="17" width="8.28515625" customWidth="1"/>
    <col min="18" max="18" width="15" customWidth="1"/>
    <col min="19" max="19" width="17.28515625" customWidth="1"/>
    <col min="21" max="21" width="12.85546875" bestFit="1" customWidth="1"/>
    <col min="22" max="22" width="10" bestFit="1" customWidth="1"/>
  </cols>
  <sheetData>
    <row r="1" spans="1:19" s="99" customFormat="1" ht="15.75">
      <c r="C1" s="817" t="s">
        <v>6</v>
      </c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</row>
    <row r="2" spans="1:19" s="99" customFormat="1" ht="15.75">
      <c r="C2" s="817" t="s">
        <v>292</v>
      </c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</row>
    <row r="3" spans="1:19" s="99" customFormat="1" ht="15.75">
      <c r="C3" s="817" t="s">
        <v>211</v>
      </c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</row>
    <row r="4" spans="1:19" s="28" customFormat="1" ht="18">
      <c r="A4" s="32"/>
      <c r="B4" s="32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</row>
    <row r="5" spans="1:19" s="30" customFormat="1"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1:19" s="33" customFormat="1" ht="12.75">
      <c r="C6" s="33" t="s">
        <v>7</v>
      </c>
      <c r="D6" s="94" t="s">
        <v>10</v>
      </c>
      <c r="E6" s="94"/>
      <c r="F6" s="94"/>
      <c r="G6" s="94"/>
      <c r="H6" s="94"/>
      <c r="I6" s="95"/>
      <c r="J6" s="95" t="s">
        <v>12</v>
      </c>
      <c r="K6" s="95" t="s">
        <v>12</v>
      </c>
      <c r="L6" s="818" t="s">
        <v>56</v>
      </c>
      <c r="M6" s="818"/>
      <c r="N6" s="818"/>
      <c r="O6" s="818"/>
      <c r="P6" s="818"/>
      <c r="Q6" s="818"/>
      <c r="R6" s="818"/>
      <c r="S6" s="818"/>
    </row>
    <row r="7" spans="1:19" s="33" customFormat="1" ht="12.75">
      <c r="C7" s="33" t="s">
        <v>8</v>
      </c>
      <c r="D7" s="94" t="s">
        <v>11</v>
      </c>
      <c r="E7" s="94"/>
      <c r="F7" s="94"/>
      <c r="G7" s="94"/>
      <c r="H7" s="94"/>
      <c r="I7" s="95"/>
      <c r="J7" s="95" t="s">
        <v>12</v>
      </c>
      <c r="K7" s="95" t="s">
        <v>12</v>
      </c>
      <c r="L7" s="94" t="s">
        <v>375</v>
      </c>
      <c r="M7" s="94"/>
      <c r="N7" s="94"/>
      <c r="O7" s="94"/>
      <c r="P7" s="94"/>
      <c r="Q7" s="94"/>
      <c r="R7" s="94"/>
      <c r="S7" s="94"/>
    </row>
    <row r="8" spans="1:19" s="33" customFormat="1" ht="12.75">
      <c r="C8" s="33" t="s">
        <v>9</v>
      </c>
      <c r="D8" s="94" t="s">
        <v>216</v>
      </c>
      <c r="E8" s="94"/>
      <c r="F8" s="94"/>
      <c r="G8" s="94"/>
      <c r="H8" s="94"/>
      <c r="I8" s="95"/>
      <c r="J8" s="95"/>
      <c r="K8" s="95" t="s">
        <v>231</v>
      </c>
      <c r="L8" s="175" t="s">
        <v>139</v>
      </c>
      <c r="M8" s="175"/>
      <c r="N8" s="175"/>
      <c r="O8" s="175"/>
      <c r="P8" s="175"/>
      <c r="Q8" s="175"/>
      <c r="R8" s="175"/>
      <c r="S8" s="175"/>
    </row>
    <row r="9" spans="1:19" s="33" customFormat="1" ht="12.75">
      <c r="C9" s="96" t="s">
        <v>219</v>
      </c>
      <c r="D9" s="94" t="s">
        <v>229</v>
      </c>
      <c r="E9" s="94"/>
      <c r="F9" s="94"/>
      <c r="G9" s="94"/>
      <c r="H9" s="94"/>
      <c r="I9" s="95"/>
      <c r="J9" s="95"/>
      <c r="K9" s="95" t="s">
        <v>12</v>
      </c>
      <c r="L9" s="175" t="s">
        <v>455</v>
      </c>
      <c r="M9" s="175"/>
      <c r="N9" s="175"/>
      <c r="O9" s="175"/>
      <c r="P9" s="175"/>
      <c r="Q9" s="175"/>
      <c r="R9" s="175"/>
      <c r="S9" s="175"/>
    </row>
    <row r="10" spans="1:19" s="33" customFormat="1" ht="12.75">
      <c r="C10" s="96" t="s">
        <v>228</v>
      </c>
      <c r="D10" s="94" t="s">
        <v>210</v>
      </c>
      <c r="E10" s="94"/>
      <c r="F10" s="94"/>
      <c r="G10" s="94"/>
      <c r="H10" s="94"/>
      <c r="I10" s="95"/>
      <c r="J10" s="95"/>
      <c r="K10" s="95" t="s">
        <v>12</v>
      </c>
      <c r="L10" s="114" t="s">
        <v>456</v>
      </c>
      <c r="M10" s="114"/>
      <c r="N10" s="175"/>
      <c r="O10" s="175"/>
      <c r="P10" s="175"/>
      <c r="Q10" s="175"/>
      <c r="R10" s="175"/>
      <c r="S10" s="175"/>
    </row>
    <row r="11" spans="1:19" s="33" customFormat="1" ht="12.75">
      <c r="C11" s="33" t="s">
        <v>9</v>
      </c>
      <c r="D11" s="94" t="s">
        <v>22</v>
      </c>
      <c r="E11" s="94"/>
      <c r="F11" s="94"/>
      <c r="G11" s="94"/>
      <c r="H11" s="94"/>
      <c r="I11" s="95"/>
      <c r="J11" s="95" t="s">
        <v>12</v>
      </c>
      <c r="K11" s="95" t="s">
        <v>12</v>
      </c>
      <c r="L11" s="846" t="s">
        <v>438</v>
      </c>
      <c r="M11" s="818"/>
      <c r="N11" s="818"/>
      <c r="O11" s="818"/>
      <c r="P11" s="818"/>
      <c r="Q11" s="818"/>
      <c r="R11" s="818"/>
      <c r="S11" s="818"/>
    </row>
    <row r="12" spans="1:19" s="33" customFormat="1" ht="12.75">
      <c r="D12" s="94"/>
      <c r="E12" s="94"/>
      <c r="F12" s="94"/>
      <c r="G12" s="94"/>
      <c r="H12" s="94"/>
      <c r="I12" s="95"/>
      <c r="J12" s="95"/>
      <c r="K12" s="95"/>
      <c r="L12" s="175"/>
      <c r="M12" s="175"/>
      <c r="N12" s="175"/>
      <c r="O12" s="175"/>
      <c r="P12" s="175"/>
      <c r="Q12" s="175"/>
      <c r="R12" s="175"/>
      <c r="S12" s="175"/>
    </row>
    <row r="13" spans="1:19" s="33" customFormat="1" ht="12.75">
      <c r="C13" s="98" t="s">
        <v>221</v>
      </c>
      <c r="D13" s="94"/>
      <c r="E13" s="94"/>
      <c r="F13" s="94"/>
      <c r="G13" s="94"/>
      <c r="H13" s="94"/>
      <c r="I13" s="95"/>
      <c r="J13" s="95"/>
      <c r="K13" s="95"/>
      <c r="L13" s="175"/>
      <c r="M13" s="175"/>
      <c r="N13" s="175"/>
      <c r="O13" s="175"/>
      <c r="P13" s="175"/>
      <c r="Q13" s="175"/>
      <c r="R13" s="175"/>
      <c r="S13" s="175"/>
    </row>
    <row r="14" spans="1:19" s="33" customFormat="1" ht="3.75" customHeight="1"/>
    <row r="15" spans="1:19" s="33" customFormat="1" ht="14.25" customHeight="1">
      <c r="A15" s="75"/>
      <c r="B15" s="76"/>
      <c r="C15" s="819" t="s">
        <v>0</v>
      </c>
      <c r="D15" s="820"/>
      <c r="E15" s="820"/>
      <c r="F15" s="820"/>
      <c r="G15" s="821"/>
      <c r="H15" s="819" t="s">
        <v>1</v>
      </c>
      <c r="I15" s="820"/>
      <c r="J15" s="820"/>
      <c r="K15" s="820"/>
      <c r="L15" s="820"/>
      <c r="M15" s="820"/>
      <c r="N15" s="820"/>
      <c r="O15" s="821"/>
      <c r="P15" s="825" t="s">
        <v>2</v>
      </c>
      <c r="Q15" s="825" t="s">
        <v>47</v>
      </c>
      <c r="R15" s="176" t="s">
        <v>4</v>
      </c>
      <c r="S15" s="825" t="s">
        <v>3</v>
      </c>
    </row>
    <row r="16" spans="1:19" s="33" customFormat="1" ht="14.25" customHeight="1">
      <c r="A16" s="75"/>
      <c r="B16" s="76"/>
      <c r="C16" s="822"/>
      <c r="D16" s="823"/>
      <c r="E16" s="823"/>
      <c r="F16" s="823"/>
      <c r="G16" s="824"/>
      <c r="H16" s="822"/>
      <c r="I16" s="823"/>
      <c r="J16" s="823"/>
      <c r="K16" s="823"/>
      <c r="L16" s="823"/>
      <c r="M16" s="823"/>
      <c r="N16" s="823"/>
      <c r="O16" s="824"/>
      <c r="P16" s="826"/>
      <c r="Q16" s="826"/>
      <c r="R16" s="177" t="s">
        <v>5</v>
      </c>
      <c r="S16" s="826"/>
    </row>
    <row r="17" spans="1:23" s="33" customFormat="1" ht="12.75">
      <c r="A17" s="75"/>
      <c r="B17" s="76"/>
      <c r="C17" s="827">
        <v>1</v>
      </c>
      <c r="D17" s="828"/>
      <c r="E17" s="828"/>
      <c r="F17" s="828"/>
      <c r="G17" s="829"/>
      <c r="H17" s="179"/>
      <c r="I17" s="180">
        <v>2</v>
      </c>
      <c r="J17" s="180"/>
      <c r="K17" s="180"/>
      <c r="L17" s="180"/>
      <c r="M17" s="180"/>
      <c r="N17" s="180"/>
      <c r="O17" s="181"/>
      <c r="P17" s="46">
        <v>3</v>
      </c>
      <c r="Q17" s="46"/>
      <c r="R17" s="46">
        <v>4</v>
      </c>
      <c r="S17" s="46">
        <v>5</v>
      </c>
    </row>
    <row r="18" spans="1:23" s="33" customFormat="1" ht="15" customHeight="1">
      <c r="A18" s="75"/>
      <c r="B18" s="76"/>
      <c r="C18" s="830">
        <v>2</v>
      </c>
      <c r="D18" s="830"/>
      <c r="E18" s="184">
        <v>2</v>
      </c>
      <c r="F18" s="184">
        <v>3</v>
      </c>
      <c r="G18" s="184">
        <v>2</v>
      </c>
      <c r="H18" s="56" t="s">
        <v>14</v>
      </c>
      <c r="I18" s="831" t="s">
        <v>48</v>
      </c>
      <c r="J18" s="831"/>
      <c r="K18" s="831"/>
      <c r="L18" s="57"/>
      <c r="M18" s="57"/>
      <c r="N18" s="57"/>
      <c r="O18" s="58"/>
      <c r="P18" s="59"/>
      <c r="Q18" s="59"/>
      <c r="R18" s="59"/>
      <c r="S18" s="60">
        <f>SUM(S19)+S23</f>
        <v>49995000</v>
      </c>
    </row>
    <row r="19" spans="1:23" s="33" customFormat="1" ht="15" customHeight="1">
      <c r="A19" s="75"/>
      <c r="B19" s="76"/>
      <c r="C19" s="814"/>
      <c r="D19" s="814"/>
      <c r="E19" s="185"/>
      <c r="F19" s="185"/>
      <c r="G19" s="185"/>
      <c r="H19" s="109" t="s">
        <v>14</v>
      </c>
      <c r="I19" s="104" t="s">
        <v>457</v>
      </c>
      <c r="J19" s="104"/>
      <c r="K19" s="105"/>
      <c r="L19" s="105"/>
      <c r="M19" s="105"/>
      <c r="N19" s="105"/>
      <c r="O19" s="183"/>
      <c r="P19" s="185"/>
      <c r="Q19" s="185"/>
      <c r="R19" s="106">
        <v>0</v>
      </c>
      <c r="S19" s="106">
        <f>SUM(S20:S21)</f>
        <v>40616000</v>
      </c>
      <c r="U19" s="54"/>
      <c r="V19" s="115"/>
      <c r="W19" s="50"/>
    </row>
    <row r="20" spans="1:23" s="33" customFormat="1" ht="15" customHeight="1">
      <c r="A20" s="75"/>
      <c r="B20" s="76"/>
      <c r="C20" s="814"/>
      <c r="D20" s="814"/>
      <c r="E20" s="185"/>
      <c r="F20" s="185"/>
      <c r="G20" s="185"/>
      <c r="H20" s="109"/>
      <c r="I20" s="118" t="s">
        <v>203</v>
      </c>
      <c r="J20" s="104"/>
      <c r="K20" s="105"/>
      <c r="L20" s="105"/>
      <c r="M20" s="105"/>
      <c r="N20" s="105"/>
      <c r="O20" s="183"/>
      <c r="P20" s="185">
        <v>482.6</v>
      </c>
      <c r="Q20" s="185" t="s">
        <v>282</v>
      </c>
      <c r="R20" s="106">
        <v>70000</v>
      </c>
      <c r="S20" s="106">
        <f>P20*R20</f>
        <v>33782000</v>
      </c>
      <c r="U20" s="54"/>
    </row>
    <row r="21" spans="1:23" s="33" customFormat="1" ht="15" customHeight="1">
      <c r="A21" s="75"/>
      <c r="B21" s="76"/>
      <c r="C21" s="814"/>
      <c r="D21" s="814"/>
      <c r="E21" s="185"/>
      <c r="F21" s="185"/>
      <c r="G21" s="185"/>
      <c r="H21" s="182"/>
      <c r="I21" s="104" t="s">
        <v>58</v>
      </c>
      <c r="J21" s="104"/>
      <c r="K21" s="104"/>
      <c r="L21" s="104"/>
      <c r="M21" s="104"/>
      <c r="N21" s="104"/>
      <c r="O21" s="110"/>
      <c r="P21" s="185">
        <v>80.400000000000006</v>
      </c>
      <c r="Q21" s="185" t="s">
        <v>282</v>
      </c>
      <c r="R21" s="106">
        <v>85000</v>
      </c>
      <c r="S21" s="106">
        <f t="shared" ref="S21" si="0">P21*R21</f>
        <v>6834000.0000000009</v>
      </c>
      <c r="W21" s="116"/>
    </row>
    <row r="22" spans="1:23" s="33" customFormat="1" ht="15" customHeight="1">
      <c r="A22" s="75"/>
      <c r="B22" s="76"/>
      <c r="C22" s="119"/>
      <c r="D22" s="120"/>
      <c r="E22" s="121"/>
      <c r="F22" s="121"/>
      <c r="G22" s="121"/>
      <c r="H22" s="119"/>
      <c r="I22" s="122"/>
      <c r="J22" s="122"/>
      <c r="K22" s="122"/>
      <c r="L22" s="122"/>
      <c r="M22" s="122"/>
      <c r="N22" s="122"/>
      <c r="O22" s="123"/>
      <c r="P22" s="121"/>
      <c r="Q22" s="121"/>
      <c r="R22" s="124"/>
      <c r="S22" s="124"/>
      <c r="W22" s="116"/>
    </row>
    <row r="23" spans="1:23" s="33" customFormat="1" ht="15" customHeight="1">
      <c r="A23" s="75"/>
      <c r="B23" s="76"/>
      <c r="C23" s="119"/>
      <c r="D23" s="120"/>
      <c r="E23" s="121"/>
      <c r="F23" s="121"/>
      <c r="G23" s="121"/>
      <c r="H23" s="109" t="s">
        <v>14</v>
      </c>
      <c r="I23" s="104" t="s">
        <v>458</v>
      </c>
      <c r="J23" s="104"/>
      <c r="K23" s="105"/>
      <c r="L23" s="105"/>
      <c r="M23" s="105"/>
      <c r="N23" s="105"/>
      <c r="O23" s="183"/>
      <c r="P23" s="185"/>
      <c r="Q23" s="185"/>
      <c r="R23" s="106">
        <v>0</v>
      </c>
      <c r="S23" s="124">
        <f>SUM(S24:S25)</f>
        <v>9379000</v>
      </c>
      <c r="W23" s="116"/>
    </row>
    <row r="24" spans="1:23" s="33" customFormat="1" ht="15" customHeight="1">
      <c r="A24" s="75"/>
      <c r="B24" s="76"/>
      <c r="C24" s="119"/>
      <c r="D24" s="120"/>
      <c r="E24" s="121"/>
      <c r="F24" s="121"/>
      <c r="G24" s="121"/>
      <c r="H24" s="109"/>
      <c r="I24" s="118" t="s">
        <v>203</v>
      </c>
      <c r="J24" s="104"/>
      <c r="K24" s="105"/>
      <c r="L24" s="105"/>
      <c r="M24" s="105"/>
      <c r="N24" s="105"/>
      <c r="O24" s="183"/>
      <c r="P24" s="185">
        <v>111.4</v>
      </c>
      <c r="Q24" s="185" t="s">
        <v>282</v>
      </c>
      <c r="R24" s="106">
        <v>70000</v>
      </c>
      <c r="S24" s="124">
        <f>P24*R24</f>
        <v>7798000</v>
      </c>
      <c r="W24" s="116"/>
    </row>
    <row r="25" spans="1:23" s="33" customFormat="1" ht="15" customHeight="1">
      <c r="A25" s="75"/>
      <c r="B25" s="76"/>
      <c r="C25" s="119"/>
      <c r="D25" s="120"/>
      <c r="E25" s="121"/>
      <c r="F25" s="121"/>
      <c r="G25" s="121"/>
      <c r="H25" s="182"/>
      <c r="I25" s="104" t="s">
        <v>58</v>
      </c>
      <c r="J25" s="104"/>
      <c r="K25" s="104"/>
      <c r="L25" s="104"/>
      <c r="M25" s="104"/>
      <c r="N25" s="104"/>
      <c r="O25" s="110"/>
      <c r="P25" s="185">
        <v>18.600000000000001</v>
      </c>
      <c r="Q25" s="185" t="s">
        <v>282</v>
      </c>
      <c r="R25" s="106">
        <v>85000</v>
      </c>
      <c r="S25" s="124">
        <f>P25*R25</f>
        <v>1581000.0000000002</v>
      </c>
      <c r="W25" s="116"/>
    </row>
    <row r="26" spans="1:23" s="33" customFormat="1" ht="15" customHeight="1">
      <c r="A26" s="75"/>
      <c r="B26" s="76"/>
      <c r="C26" s="119"/>
      <c r="D26" s="120"/>
      <c r="E26" s="121"/>
      <c r="F26" s="121"/>
      <c r="G26" s="121"/>
      <c r="H26" s="119"/>
      <c r="I26" s="122"/>
      <c r="J26" s="122"/>
      <c r="K26" s="122"/>
      <c r="L26" s="122"/>
      <c r="M26" s="122"/>
      <c r="N26" s="122"/>
      <c r="O26" s="123"/>
      <c r="P26" s="121"/>
      <c r="Q26" s="121"/>
      <c r="R26" s="124">
        <v>0</v>
      </c>
      <c r="S26" s="124"/>
      <c r="U26" s="53"/>
      <c r="W26" s="116"/>
    </row>
    <row r="27" spans="1:23" s="33" customFormat="1" ht="15" customHeight="1">
      <c r="A27" s="75"/>
      <c r="B27" s="76"/>
      <c r="C27" s="814">
        <v>2</v>
      </c>
      <c r="D27" s="814"/>
      <c r="E27" s="185">
        <v>2</v>
      </c>
      <c r="F27" s="185">
        <v>3</v>
      </c>
      <c r="G27" s="185">
        <v>3</v>
      </c>
      <c r="H27" s="125" t="s">
        <v>14</v>
      </c>
      <c r="I27" s="126" t="s">
        <v>60</v>
      </c>
      <c r="J27" s="122"/>
      <c r="K27" s="122"/>
      <c r="L27" s="122"/>
      <c r="M27" s="122"/>
      <c r="N27" s="122"/>
      <c r="O27" s="123"/>
      <c r="P27" s="121"/>
      <c r="Q27" s="121"/>
      <c r="R27" s="124">
        <v>0</v>
      </c>
      <c r="S27" s="127">
        <f>SUM(S28+S40)</f>
        <v>267959800</v>
      </c>
      <c r="U27" s="50"/>
      <c r="W27" s="116"/>
    </row>
    <row r="28" spans="1:23" s="33" customFormat="1" ht="15" customHeight="1">
      <c r="A28" s="75"/>
      <c r="B28" s="76"/>
      <c r="C28" s="119"/>
      <c r="D28" s="120"/>
      <c r="E28" s="121"/>
      <c r="F28" s="121"/>
      <c r="G28" s="121"/>
      <c r="H28" s="125"/>
      <c r="I28" s="122" t="s">
        <v>459</v>
      </c>
      <c r="J28" s="122"/>
      <c r="K28" s="122"/>
      <c r="L28" s="122"/>
      <c r="M28" s="122"/>
      <c r="N28" s="122"/>
      <c r="O28" s="123"/>
      <c r="P28" s="121"/>
      <c r="Q28" s="121"/>
      <c r="R28" s="124"/>
      <c r="S28" s="124">
        <f>SUM(S29:S38)</f>
        <v>216632500</v>
      </c>
      <c r="U28" s="50"/>
      <c r="W28" s="116"/>
    </row>
    <row r="29" spans="1:23" s="33" customFormat="1" ht="15" customHeight="1">
      <c r="A29" s="75"/>
      <c r="B29" s="76"/>
      <c r="C29" s="119"/>
      <c r="D29" s="120"/>
      <c r="E29" s="121"/>
      <c r="F29" s="121"/>
      <c r="G29" s="121"/>
      <c r="H29" s="125"/>
      <c r="I29" s="122" t="s">
        <v>376</v>
      </c>
      <c r="J29" s="122"/>
      <c r="K29" s="122"/>
      <c r="L29" s="122"/>
      <c r="M29" s="122"/>
      <c r="N29" s="122"/>
      <c r="O29" s="123"/>
      <c r="P29" s="147">
        <v>158</v>
      </c>
      <c r="Q29" s="121" t="s">
        <v>182</v>
      </c>
      <c r="R29" s="124">
        <v>195000</v>
      </c>
      <c r="S29" s="124">
        <f>P29*R29</f>
        <v>30810000</v>
      </c>
      <c r="W29" s="116"/>
    </row>
    <row r="30" spans="1:23" s="33" customFormat="1" ht="15" customHeight="1">
      <c r="A30" s="75"/>
      <c r="B30" s="76"/>
      <c r="C30" s="119"/>
      <c r="D30" s="120"/>
      <c r="E30" s="121"/>
      <c r="F30" s="121"/>
      <c r="G30" s="121"/>
      <c r="H30" s="125"/>
      <c r="I30" s="122" t="s">
        <v>377</v>
      </c>
      <c r="J30" s="122"/>
      <c r="K30" s="122"/>
      <c r="L30" s="122"/>
      <c r="M30" s="122"/>
      <c r="N30" s="122"/>
      <c r="O30" s="123"/>
      <c r="P30" s="148">
        <v>1907.1</v>
      </c>
      <c r="Q30" s="121" t="s">
        <v>63</v>
      </c>
      <c r="R30" s="124">
        <v>67000</v>
      </c>
      <c r="S30" s="124">
        <f t="shared" ref="S30:S38" si="1">P30*R30</f>
        <v>127775700</v>
      </c>
      <c r="U30" s="54"/>
      <c r="W30" s="116"/>
    </row>
    <row r="31" spans="1:23" s="33" customFormat="1" ht="15" customHeight="1">
      <c r="A31" s="75"/>
      <c r="B31" s="76"/>
      <c r="C31" s="119"/>
      <c r="D31" s="120"/>
      <c r="E31" s="121"/>
      <c r="F31" s="121"/>
      <c r="G31" s="121"/>
      <c r="H31" s="125"/>
      <c r="I31" s="122" t="s">
        <v>378</v>
      </c>
      <c r="J31" s="122"/>
      <c r="K31" s="122"/>
      <c r="L31" s="122"/>
      <c r="M31" s="122"/>
      <c r="N31" s="122"/>
      <c r="O31" s="123"/>
      <c r="P31" s="147">
        <v>222.3</v>
      </c>
      <c r="Q31" s="121" t="s">
        <v>182</v>
      </c>
      <c r="R31" s="124">
        <v>225000</v>
      </c>
      <c r="S31" s="124">
        <f t="shared" si="1"/>
        <v>50017500</v>
      </c>
      <c r="U31" s="54"/>
      <c r="W31" s="116"/>
    </row>
    <row r="32" spans="1:23" s="33" customFormat="1" ht="15" customHeight="1">
      <c r="A32" s="75"/>
      <c r="B32" s="76"/>
      <c r="C32" s="119"/>
      <c r="D32" s="120"/>
      <c r="E32" s="121"/>
      <c r="F32" s="121"/>
      <c r="G32" s="121"/>
      <c r="H32" s="125"/>
      <c r="I32" s="122" t="s">
        <v>379</v>
      </c>
      <c r="J32" s="122"/>
      <c r="K32" s="122"/>
      <c r="L32" s="122"/>
      <c r="M32" s="122"/>
      <c r="N32" s="122"/>
      <c r="O32" s="123"/>
      <c r="P32" s="147">
        <v>15</v>
      </c>
      <c r="Q32" s="121" t="s">
        <v>297</v>
      </c>
      <c r="R32" s="124">
        <v>28000</v>
      </c>
      <c r="S32" s="124">
        <f t="shared" si="1"/>
        <v>420000</v>
      </c>
      <c r="W32" s="116"/>
    </row>
    <row r="33" spans="1:23" s="33" customFormat="1" ht="15" customHeight="1">
      <c r="A33" s="75"/>
      <c r="B33" s="76"/>
      <c r="C33" s="119"/>
      <c r="D33" s="120"/>
      <c r="E33" s="121"/>
      <c r="F33" s="121"/>
      <c r="G33" s="121"/>
      <c r="H33" s="125"/>
      <c r="I33" s="122" t="s">
        <v>380</v>
      </c>
      <c r="J33" s="122"/>
      <c r="K33" s="122"/>
      <c r="L33" s="122"/>
      <c r="M33" s="122"/>
      <c r="N33" s="122"/>
      <c r="O33" s="123"/>
      <c r="P33" s="147">
        <v>63000</v>
      </c>
      <c r="Q33" s="121" t="s">
        <v>182</v>
      </c>
      <c r="R33" s="124">
        <v>100</v>
      </c>
      <c r="S33" s="124">
        <f t="shared" si="1"/>
        <v>6300000</v>
      </c>
      <c r="U33" s="54"/>
      <c r="W33" s="116"/>
    </row>
    <row r="34" spans="1:23" s="33" customFormat="1" ht="15" customHeight="1">
      <c r="A34" s="75"/>
      <c r="B34" s="76"/>
      <c r="C34" s="119"/>
      <c r="D34" s="120"/>
      <c r="E34" s="121"/>
      <c r="F34" s="121"/>
      <c r="G34" s="121"/>
      <c r="H34" s="125"/>
      <c r="I34" s="122" t="s">
        <v>381</v>
      </c>
      <c r="J34" s="122"/>
      <c r="K34" s="122"/>
      <c r="L34" s="122"/>
      <c r="M34" s="122"/>
      <c r="N34" s="122"/>
      <c r="O34" s="123"/>
      <c r="P34" s="147">
        <v>2</v>
      </c>
      <c r="Q34" s="121" t="s">
        <v>55</v>
      </c>
      <c r="R34" s="124">
        <v>400000</v>
      </c>
      <c r="S34" s="124">
        <f t="shared" si="1"/>
        <v>800000</v>
      </c>
      <c r="W34" s="116"/>
    </row>
    <row r="35" spans="1:23" s="33" customFormat="1" ht="15" customHeight="1">
      <c r="A35" s="75"/>
      <c r="B35" s="76"/>
      <c r="C35" s="119"/>
      <c r="D35" s="120"/>
      <c r="E35" s="121"/>
      <c r="F35" s="121"/>
      <c r="G35" s="121"/>
      <c r="H35" s="119"/>
      <c r="I35" s="122" t="s">
        <v>382</v>
      </c>
      <c r="J35" s="122"/>
      <c r="K35" s="122"/>
      <c r="L35" s="122"/>
      <c r="M35" s="122"/>
      <c r="N35" s="122"/>
      <c r="O35" s="123"/>
      <c r="P35" s="147">
        <v>5</v>
      </c>
      <c r="Q35" s="121" t="s">
        <v>55</v>
      </c>
      <c r="R35" s="124">
        <v>65000</v>
      </c>
      <c r="S35" s="124">
        <f t="shared" si="1"/>
        <v>325000</v>
      </c>
      <c r="W35" s="116"/>
    </row>
    <row r="36" spans="1:23" s="33" customFormat="1" ht="15" customHeight="1">
      <c r="A36" s="75"/>
      <c r="B36" s="76"/>
      <c r="C36" s="182"/>
      <c r="D36" s="183"/>
      <c r="E36" s="121"/>
      <c r="F36" s="121"/>
      <c r="G36" s="121"/>
      <c r="H36" s="119"/>
      <c r="I36" s="122" t="s">
        <v>383</v>
      </c>
      <c r="J36" s="122"/>
      <c r="K36" s="122"/>
      <c r="L36" s="122"/>
      <c r="M36" s="122"/>
      <c r="N36" s="122"/>
      <c r="O36" s="123"/>
      <c r="P36" s="147">
        <v>6</v>
      </c>
      <c r="Q36" s="121" t="s">
        <v>55</v>
      </c>
      <c r="R36" s="124">
        <v>12000</v>
      </c>
      <c r="S36" s="124">
        <f t="shared" si="1"/>
        <v>72000</v>
      </c>
      <c r="W36" s="116"/>
    </row>
    <row r="37" spans="1:23" s="33" customFormat="1" ht="15" customHeight="1">
      <c r="A37" s="75"/>
      <c r="B37" s="76"/>
      <c r="C37" s="119"/>
      <c r="D37" s="120"/>
      <c r="E37" s="121"/>
      <c r="F37" s="121"/>
      <c r="G37" s="121"/>
      <c r="H37" s="119"/>
      <c r="I37" s="122" t="s">
        <v>384</v>
      </c>
      <c r="J37" s="122"/>
      <c r="K37" s="122"/>
      <c r="L37" s="122"/>
      <c r="M37" s="122"/>
      <c r="N37" s="122"/>
      <c r="O37" s="123"/>
      <c r="P37" s="147">
        <v>1</v>
      </c>
      <c r="Q37" s="121" t="s">
        <v>55</v>
      </c>
      <c r="R37" s="124">
        <v>100000</v>
      </c>
      <c r="S37" s="124">
        <f t="shared" si="1"/>
        <v>100000</v>
      </c>
      <c r="W37" s="116"/>
    </row>
    <row r="38" spans="1:23" s="33" customFormat="1" ht="15" customHeight="1">
      <c r="A38" s="75"/>
      <c r="B38" s="76"/>
      <c r="C38" s="182"/>
      <c r="D38" s="183"/>
      <c r="E38" s="185"/>
      <c r="F38" s="185"/>
      <c r="G38" s="185"/>
      <c r="H38" s="182"/>
      <c r="I38" s="104" t="s">
        <v>385</v>
      </c>
      <c r="J38" s="104"/>
      <c r="K38" s="104"/>
      <c r="L38" s="104"/>
      <c r="M38" s="104"/>
      <c r="N38" s="104"/>
      <c r="O38" s="110"/>
      <c r="P38" s="144">
        <v>2</v>
      </c>
      <c r="Q38" s="185" t="s">
        <v>386</v>
      </c>
      <c r="R38" s="106">
        <v>6150</v>
      </c>
      <c r="S38" s="106">
        <f t="shared" si="1"/>
        <v>12300</v>
      </c>
      <c r="W38" s="116"/>
    </row>
    <row r="39" spans="1:23" s="33" customFormat="1" ht="9" customHeight="1">
      <c r="A39" s="75"/>
      <c r="B39" s="76"/>
      <c r="C39" s="182"/>
      <c r="D39" s="183"/>
      <c r="E39" s="185"/>
      <c r="F39" s="185"/>
      <c r="G39" s="185"/>
      <c r="H39" s="182"/>
      <c r="I39" s="104"/>
      <c r="J39" s="104"/>
      <c r="K39" s="104"/>
      <c r="L39" s="104"/>
      <c r="M39" s="104"/>
      <c r="N39" s="104"/>
      <c r="O39" s="110"/>
      <c r="P39" s="144"/>
      <c r="Q39" s="185"/>
      <c r="R39" s="106"/>
      <c r="S39" s="106"/>
      <c r="W39" s="116"/>
    </row>
    <row r="40" spans="1:23" s="33" customFormat="1" ht="15" customHeight="1">
      <c r="A40" s="75"/>
      <c r="B40" s="76"/>
      <c r="C40" s="182"/>
      <c r="D40" s="183"/>
      <c r="E40" s="185"/>
      <c r="F40" s="185"/>
      <c r="G40" s="185"/>
      <c r="H40" s="182"/>
      <c r="I40" s="104" t="s">
        <v>459</v>
      </c>
      <c r="J40" s="104"/>
      <c r="K40" s="104"/>
      <c r="L40" s="104"/>
      <c r="M40" s="104"/>
      <c r="N40" s="104"/>
      <c r="O40" s="110"/>
      <c r="P40" s="185"/>
      <c r="Q40" s="185"/>
      <c r="R40" s="106"/>
      <c r="S40" s="106">
        <f>SUM(S41:S50)</f>
        <v>51327300</v>
      </c>
      <c r="W40" s="116"/>
    </row>
    <row r="41" spans="1:23" s="33" customFormat="1" ht="15" customHeight="1">
      <c r="A41" s="75"/>
      <c r="B41" s="76"/>
      <c r="C41" s="182"/>
      <c r="D41" s="183"/>
      <c r="E41" s="185"/>
      <c r="F41" s="185"/>
      <c r="G41" s="185"/>
      <c r="H41" s="182"/>
      <c r="I41" s="104" t="s">
        <v>376</v>
      </c>
      <c r="J41" s="104"/>
      <c r="K41" s="104"/>
      <c r="L41" s="104"/>
      <c r="M41" s="104"/>
      <c r="N41" s="104"/>
      <c r="O41" s="110"/>
      <c r="P41" s="144">
        <v>36.5</v>
      </c>
      <c r="Q41" s="185" t="s">
        <v>182</v>
      </c>
      <c r="R41" s="106">
        <v>195000</v>
      </c>
      <c r="S41" s="106">
        <f>P41*R41</f>
        <v>7117500</v>
      </c>
      <c r="W41" s="116"/>
    </row>
    <row r="42" spans="1:23" s="33" customFormat="1" ht="15" customHeight="1">
      <c r="A42" s="75"/>
      <c r="B42" s="76"/>
      <c r="C42" s="182"/>
      <c r="D42" s="183"/>
      <c r="E42" s="185"/>
      <c r="F42" s="185"/>
      <c r="G42" s="185"/>
      <c r="H42" s="182"/>
      <c r="I42" s="104" t="s">
        <v>377</v>
      </c>
      <c r="J42" s="104"/>
      <c r="K42" s="104"/>
      <c r="L42" s="104"/>
      <c r="M42" s="104"/>
      <c r="N42" s="104"/>
      <c r="O42" s="110"/>
      <c r="P42" s="174">
        <v>440.1</v>
      </c>
      <c r="Q42" s="185" t="s">
        <v>63</v>
      </c>
      <c r="R42" s="106">
        <v>67000</v>
      </c>
      <c r="S42" s="106">
        <f t="shared" ref="S42:S50" si="2">P42*R42</f>
        <v>29486700</v>
      </c>
      <c r="W42" s="116"/>
    </row>
    <row r="43" spans="1:23" s="33" customFormat="1" ht="15" customHeight="1">
      <c r="A43" s="75"/>
      <c r="B43" s="76"/>
      <c r="C43" s="182"/>
      <c r="D43" s="183"/>
      <c r="E43" s="185"/>
      <c r="F43" s="185"/>
      <c r="G43" s="185"/>
      <c r="H43" s="182"/>
      <c r="I43" s="104" t="s">
        <v>378</v>
      </c>
      <c r="J43" s="104"/>
      <c r="K43" s="104"/>
      <c r="L43" s="104"/>
      <c r="M43" s="104"/>
      <c r="N43" s="104"/>
      <c r="O43" s="110"/>
      <c r="P43" s="144">
        <v>51.3</v>
      </c>
      <c r="Q43" s="185" t="s">
        <v>182</v>
      </c>
      <c r="R43" s="106">
        <v>225000</v>
      </c>
      <c r="S43" s="106">
        <f t="shared" si="2"/>
        <v>11542500</v>
      </c>
      <c r="W43" s="116"/>
    </row>
    <row r="44" spans="1:23" s="33" customFormat="1" ht="15" customHeight="1">
      <c r="A44" s="75"/>
      <c r="B44" s="76"/>
      <c r="C44" s="182"/>
      <c r="D44" s="183"/>
      <c r="E44" s="185"/>
      <c r="F44" s="185"/>
      <c r="G44" s="185"/>
      <c r="H44" s="182"/>
      <c r="I44" s="104" t="s">
        <v>379</v>
      </c>
      <c r="J44" s="104"/>
      <c r="K44" s="104"/>
      <c r="L44" s="104"/>
      <c r="M44" s="104"/>
      <c r="N44" s="104"/>
      <c r="O44" s="110"/>
      <c r="P44" s="144">
        <v>15</v>
      </c>
      <c r="Q44" s="185" t="s">
        <v>297</v>
      </c>
      <c r="R44" s="106">
        <v>28000</v>
      </c>
      <c r="S44" s="106">
        <f t="shared" si="2"/>
        <v>420000</v>
      </c>
      <c r="W44" s="116"/>
    </row>
    <row r="45" spans="1:23" s="33" customFormat="1" ht="15" customHeight="1">
      <c r="A45" s="75"/>
      <c r="B45" s="76"/>
      <c r="C45" s="182"/>
      <c r="D45" s="183"/>
      <c r="E45" s="185"/>
      <c r="F45" s="185"/>
      <c r="G45" s="185"/>
      <c r="H45" s="182"/>
      <c r="I45" s="104" t="s">
        <v>380</v>
      </c>
      <c r="J45" s="104"/>
      <c r="K45" s="104"/>
      <c r="L45" s="104"/>
      <c r="M45" s="104"/>
      <c r="N45" s="104"/>
      <c r="O45" s="110"/>
      <c r="P45" s="144">
        <v>14513</v>
      </c>
      <c r="Q45" s="185" t="s">
        <v>182</v>
      </c>
      <c r="R45" s="106">
        <v>100</v>
      </c>
      <c r="S45" s="106">
        <f t="shared" si="2"/>
        <v>1451300</v>
      </c>
      <c r="W45" s="116"/>
    </row>
    <row r="46" spans="1:23" s="33" customFormat="1" ht="15" customHeight="1">
      <c r="A46" s="75"/>
      <c r="B46" s="76"/>
      <c r="C46" s="182"/>
      <c r="D46" s="183"/>
      <c r="E46" s="185"/>
      <c r="F46" s="185"/>
      <c r="G46" s="185"/>
      <c r="H46" s="182"/>
      <c r="I46" s="104" t="s">
        <v>381</v>
      </c>
      <c r="J46" s="104"/>
      <c r="K46" s="104"/>
      <c r="L46" s="104"/>
      <c r="M46" s="104"/>
      <c r="N46" s="104"/>
      <c r="O46" s="110"/>
      <c r="P46" s="144">
        <v>2</v>
      </c>
      <c r="Q46" s="185" t="s">
        <v>55</v>
      </c>
      <c r="R46" s="106">
        <v>400000</v>
      </c>
      <c r="S46" s="106">
        <f t="shared" si="2"/>
        <v>800000</v>
      </c>
      <c r="W46" s="116"/>
    </row>
    <row r="47" spans="1:23" s="33" customFormat="1" ht="15" customHeight="1">
      <c r="A47" s="75"/>
      <c r="B47" s="76"/>
      <c r="C47" s="182"/>
      <c r="D47" s="183"/>
      <c r="E47" s="185"/>
      <c r="F47" s="185"/>
      <c r="G47" s="185"/>
      <c r="H47" s="182"/>
      <c r="I47" s="104" t="s">
        <v>382</v>
      </c>
      <c r="J47" s="104"/>
      <c r="K47" s="104"/>
      <c r="L47" s="104"/>
      <c r="M47" s="104"/>
      <c r="N47" s="104"/>
      <c r="O47" s="110"/>
      <c r="P47" s="144">
        <v>5</v>
      </c>
      <c r="Q47" s="185" t="s">
        <v>55</v>
      </c>
      <c r="R47" s="106">
        <v>65000</v>
      </c>
      <c r="S47" s="106">
        <f t="shared" si="2"/>
        <v>325000</v>
      </c>
      <c r="W47" s="116"/>
    </row>
    <row r="48" spans="1:23" s="33" customFormat="1" ht="15" customHeight="1">
      <c r="A48" s="75"/>
      <c r="B48" s="76"/>
      <c r="C48" s="182"/>
      <c r="D48" s="183"/>
      <c r="E48" s="185"/>
      <c r="F48" s="185"/>
      <c r="G48" s="185"/>
      <c r="H48" s="182"/>
      <c r="I48" s="104" t="s">
        <v>383</v>
      </c>
      <c r="J48" s="104"/>
      <c r="K48" s="104"/>
      <c r="L48" s="104"/>
      <c r="M48" s="104"/>
      <c r="N48" s="104"/>
      <c r="O48" s="110"/>
      <c r="P48" s="144">
        <v>6</v>
      </c>
      <c r="Q48" s="185" t="s">
        <v>55</v>
      </c>
      <c r="R48" s="106">
        <v>12000</v>
      </c>
      <c r="S48" s="106">
        <f t="shared" si="2"/>
        <v>72000</v>
      </c>
      <c r="W48" s="116"/>
    </row>
    <row r="49" spans="1:23" s="33" customFormat="1" ht="15" customHeight="1">
      <c r="A49" s="75"/>
      <c r="B49" s="76"/>
      <c r="C49" s="182"/>
      <c r="D49" s="183"/>
      <c r="E49" s="185"/>
      <c r="F49" s="185"/>
      <c r="G49" s="185"/>
      <c r="H49" s="182"/>
      <c r="I49" s="104" t="s">
        <v>384</v>
      </c>
      <c r="J49" s="104"/>
      <c r="K49" s="104"/>
      <c r="L49" s="104"/>
      <c r="M49" s="104"/>
      <c r="N49" s="104"/>
      <c r="O49" s="110"/>
      <c r="P49" s="144">
        <v>1</v>
      </c>
      <c r="Q49" s="185" t="s">
        <v>55</v>
      </c>
      <c r="R49" s="106">
        <v>100000</v>
      </c>
      <c r="S49" s="106">
        <f t="shared" si="2"/>
        <v>100000</v>
      </c>
      <c r="W49" s="116"/>
    </row>
    <row r="50" spans="1:23" s="33" customFormat="1" ht="15" customHeight="1">
      <c r="A50" s="75"/>
      <c r="B50" s="76"/>
      <c r="C50" s="186"/>
      <c r="D50" s="187"/>
      <c r="E50" s="189"/>
      <c r="F50" s="189"/>
      <c r="G50" s="189"/>
      <c r="H50" s="186"/>
      <c r="I50" s="128" t="s">
        <v>385</v>
      </c>
      <c r="J50" s="128"/>
      <c r="K50" s="128"/>
      <c r="L50" s="128"/>
      <c r="M50" s="128"/>
      <c r="N50" s="128"/>
      <c r="O50" s="129"/>
      <c r="P50" s="173">
        <v>2</v>
      </c>
      <c r="Q50" s="189" t="s">
        <v>386</v>
      </c>
      <c r="R50" s="130">
        <v>6150</v>
      </c>
      <c r="S50" s="130">
        <f t="shared" si="2"/>
        <v>12300</v>
      </c>
      <c r="W50" s="116"/>
    </row>
    <row r="51" spans="1:23" s="33" customFormat="1" ht="15" customHeight="1">
      <c r="A51" s="75"/>
      <c r="B51" s="76"/>
      <c r="C51" s="847"/>
      <c r="D51" s="847"/>
      <c r="E51" s="188"/>
      <c r="F51" s="188"/>
      <c r="G51" s="188"/>
      <c r="H51" s="827" t="s">
        <v>163</v>
      </c>
      <c r="I51" s="828"/>
      <c r="J51" s="828"/>
      <c r="K51" s="828"/>
      <c r="L51" s="828"/>
      <c r="M51" s="828"/>
      <c r="N51" s="828"/>
      <c r="O51" s="829"/>
      <c r="P51" s="35"/>
      <c r="Q51" s="35"/>
      <c r="R51" s="51"/>
      <c r="S51" s="49">
        <f>SUM(S18+S27)</f>
        <v>317954800</v>
      </c>
    </row>
    <row r="52" spans="1:23" s="33" customFormat="1" ht="12.75">
      <c r="A52" s="75"/>
      <c r="B52" s="76"/>
      <c r="C52" s="77"/>
      <c r="D52" s="77"/>
      <c r="E52" s="77"/>
      <c r="F52" s="77"/>
      <c r="G52" s="77"/>
      <c r="H52" s="88"/>
      <c r="I52" s="88"/>
      <c r="J52" s="88"/>
      <c r="K52" s="76"/>
      <c r="L52" s="76"/>
      <c r="M52" s="76"/>
      <c r="N52" s="76"/>
      <c r="O52" s="76"/>
      <c r="P52" s="76"/>
      <c r="Q52" s="76"/>
      <c r="R52" s="89"/>
      <c r="S52" s="113"/>
    </row>
    <row r="53" spans="1:23" s="33" customFormat="1" ht="12.75">
      <c r="A53" s="75"/>
      <c r="B53" s="76"/>
      <c r="C53" s="77"/>
      <c r="D53" s="77"/>
      <c r="E53" s="77"/>
      <c r="F53" s="77"/>
      <c r="G53" s="77"/>
      <c r="H53" s="88"/>
      <c r="I53" s="88"/>
      <c r="J53" s="88"/>
      <c r="K53" s="76"/>
      <c r="L53" s="76"/>
      <c r="M53" s="76"/>
      <c r="N53" s="76"/>
      <c r="O53" s="76"/>
      <c r="P53" s="76"/>
      <c r="Q53" s="76"/>
      <c r="R53" s="89"/>
      <c r="S53" s="113"/>
    </row>
    <row r="54" spans="1:23" s="33" customFormat="1" ht="12.75">
      <c r="A54" s="75"/>
      <c r="B54" s="76"/>
      <c r="C54" s="77"/>
      <c r="D54" s="77"/>
      <c r="E54" s="77"/>
      <c r="F54" s="77"/>
      <c r="G54" s="77"/>
      <c r="H54" s="88"/>
      <c r="I54" s="88"/>
      <c r="J54" s="88"/>
      <c r="K54" s="76"/>
      <c r="L54" s="76"/>
      <c r="M54" s="76"/>
      <c r="N54" s="76"/>
      <c r="O54" s="76"/>
      <c r="P54" s="76"/>
      <c r="Q54" s="76"/>
      <c r="R54" s="89"/>
      <c r="S54" s="113"/>
    </row>
    <row r="55" spans="1:23" s="33" customFormat="1" ht="12.75">
      <c r="A55" s="75"/>
      <c r="B55" s="76"/>
      <c r="C55" s="77"/>
      <c r="D55" s="77"/>
      <c r="E55" s="77"/>
      <c r="F55" s="77"/>
      <c r="G55" s="77"/>
      <c r="H55" s="88"/>
      <c r="I55" s="88"/>
      <c r="J55" s="88"/>
      <c r="K55" s="76"/>
      <c r="L55" s="76"/>
      <c r="M55" s="76"/>
      <c r="N55" s="76"/>
      <c r="O55" s="76"/>
      <c r="P55" s="76"/>
      <c r="Q55" s="76"/>
      <c r="R55" s="89"/>
      <c r="S55" s="113"/>
    </row>
    <row r="56" spans="1:23" s="33" customFormat="1" ht="12.75">
      <c r="A56" s="75"/>
      <c r="B56" s="76"/>
      <c r="C56" s="77"/>
      <c r="D56" s="77"/>
      <c r="E56" s="77"/>
      <c r="F56" s="77"/>
      <c r="G56" s="77"/>
      <c r="H56" s="88"/>
      <c r="I56" s="88"/>
      <c r="J56" s="88"/>
      <c r="K56" s="76"/>
      <c r="L56" s="76"/>
      <c r="M56" s="76"/>
      <c r="N56" s="76"/>
      <c r="O56" s="76"/>
      <c r="P56" s="76"/>
      <c r="Q56" s="76"/>
      <c r="R56" s="89"/>
      <c r="S56" s="113"/>
    </row>
    <row r="57" spans="1:23" s="33" customFormat="1" ht="12.75">
      <c r="A57" s="75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52"/>
    </row>
    <row r="58" spans="1:23" s="33" customFormat="1" ht="12.75">
      <c r="A58" s="75"/>
      <c r="B58" s="76"/>
      <c r="C58" s="75"/>
      <c r="D58" s="76"/>
      <c r="E58" s="76"/>
      <c r="F58" s="76"/>
      <c r="G58" s="76"/>
      <c r="H58" s="76"/>
      <c r="I58" s="77" t="s">
        <v>168</v>
      </c>
      <c r="J58" s="76"/>
      <c r="K58" s="76"/>
      <c r="L58" s="76"/>
      <c r="M58" s="76"/>
      <c r="N58" s="76"/>
      <c r="O58" s="76"/>
      <c r="P58" s="76"/>
      <c r="Q58" s="76"/>
      <c r="R58" s="77" t="s">
        <v>193</v>
      </c>
      <c r="S58" s="52"/>
    </row>
    <row r="59" spans="1:23" s="33" customFormat="1" ht="12.75">
      <c r="A59" s="75"/>
      <c r="B59" s="76"/>
      <c r="C59" s="75"/>
      <c r="D59" s="76"/>
      <c r="E59" s="76"/>
      <c r="F59" s="76"/>
      <c r="G59" s="76"/>
      <c r="H59" s="76"/>
      <c r="I59" s="77" t="s">
        <v>298</v>
      </c>
      <c r="J59" s="76"/>
      <c r="K59" s="76"/>
      <c r="L59" s="76"/>
      <c r="M59" s="76"/>
      <c r="N59" s="76"/>
      <c r="O59" s="76"/>
      <c r="P59" s="76"/>
      <c r="Q59" s="76"/>
      <c r="R59" s="76"/>
      <c r="S59" s="52"/>
    </row>
    <row r="60" spans="1:23" s="33" customFormat="1" ht="12.75">
      <c r="A60" s="75"/>
      <c r="B60" s="76"/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52"/>
    </row>
    <row r="61" spans="1:23" s="33" customFormat="1" ht="12.75">
      <c r="A61" s="75"/>
      <c r="B61" s="76"/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52"/>
    </row>
    <row r="62" spans="1:23" s="33" customFormat="1" ht="12.75">
      <c r="A62" s="75"/>
      <c r="B62" s="76"/>
      <c r="C62" s="75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52"/>
    </row>
    <row r="63" spans="1:23" s="33" customFormat="1" ht="12.75">
      <c r="A63" s="75"/>
      <c r="B63" s="76"/>
      <c r="C63" s="75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52"/>
    </row>
    <row r="64" spans="1:23" s="33" customFormat="1" ht="12.75">
      <c r="A64" s="75"/>
      <c r="B64" s="76"/>
      <c r="C64" s="75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52"/>
    </row>
    <row r="65" spans="1:19" s="33" customFormat="1" ht="12.75">
      <c r="A65" s="75"/>
      <c r="B65" s="76"/>
      <c r="C65" s="75"/>
      <c r="D65" s="76"/>
      <c r="E65" s="76"/>
      <c r="F65" s="76"/>
      <c r="G65" s="76"/>
      <c r="H65" s="76"/>
      <c r="I65" s="77" t="s">
        <v>304</v>
      </c>
      <c r="J65" s="76"/>
      <c r="K65" s="76"/>
      <c r="L65" s="76"/>
      <c r="M65" s="76"/>
      <c r="N65" s="76"/>
      <c r="O65" s="76"/>
      <c r="P65" s="76"/>
      <c r="Q65" s="76"/>
      <c r="R65" s="77" t="s">
        <v>305</v>
      </c>
      <c r="S65" s="52"/>
    </row>
    <row r="66" spans="1:19" s="33" customFormat="1" ht="12.75">
      <c r="A66" s="78"/>
      <c r="B66" s="79"/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80"/>
    </row>
    <row r="67" spans="1:19" s="30" customFormat="1"/>
    <row r="68" spans="1:19" s="30" customFormat="1"/>
    <row r="69" spans="1:19" s="30" customFormat="1"/>
    <row r="70" spans="1:19" s="30" customFormat="1"/>
    <row r="71" spans="1:19" s="30" customFormat="1"/>
    <row r="72" spans="1:19" s="30" customFormat="1"/>
    <row r="73" spans="1:19" s="30" customFormat="1"/>
    <row r="74" spans="1:19" s="30" customFormat="1"/>
    <row r="75" spans="1:19" s="30" customFormat="1"/>
    <row r="76" spans="1:19" s="30" customFormat="1"/>
    <row r="77" spans="1:19" s="30" customFormat="1"/>
    <row r="78" spans="1:19" s="30" customFormat="1"/>
    <row r="79" spans="1:19" s="30" customFormat="1"/>
    <row r="80" spans="1:19" s="30" customFormat="1"/>
    <row r="81" s="30" customFormat="1"/>
    <row r="82" s="30" customFormat="1"/>
    <row r="83" s="30" customFormat="1"/>
    <row r="84" s="30" customFormat="1"/>
    <row r="85" s="30" customFormat="1"/>
    <row r="86" s="30" customFormat="1"/>
    <row r="87" s="30" customFormat="1"/>
    <row r="88" s="30" customFormat="1"/>
    <row r="89" s="30" customFormat="1"/>
    <row r="90" s="30" customFormat="1"/>
    <row r="91" s="30" customFormat="1"/>
    <row r="92" s="30" customFormat="1"/>
    <row r="93" s="30" customFormat="1"/>
    <row r="94" s="30" customFormat="1"/>
    <row r="95" s="30" customFormat="1"/>
    <row r="96" s="30" customFormat="1"/>
    <row r="97" s="30" customFormat="1"/>
    <row r="98" s="30" customFormat="1"/>
    <row r="99" s="30" customFormat="1"/>
    <row r="100" s="30" customFormat="1"/>
    <row r="101" s="30" customFormat="1"/>
    <row r="102" s="30" customFormat="1"/>
    <row r="103" s="30" customFormat="1"/>
    <row r="104" s="30" customFormat="1"/>
    <row r="105" s="30" customFormat="1"/>
    <row r="106" s="30" customFormat="1"/>
    <row r="107" s="30" customFormat="1"/>
    <row r="108" s="30" customFormat="1"/>
    <row r="109" s="30" customFormat="1"/>
    <row r="110" s="30" customFormat="1"/>
    <row r="111" s="30" customFormat="1"/>
    <row r="112" s="30" customFormat="1"/>
    <row r="113" s="30" customFormat="1"/>
    <row r="114" s="30" customFormat="1"/>
    <row r="115" s="30" customFormat="1"/>
    <row r="116" s="30" customFormat="1"/>
    <row r="117" s="30" customFormat="1"/>
    <row r="118" s="30" customFormat="1"/>
    <row r="119" s="30" customFormat="1"/>
    <row r="120" s="30" customFormat="1"/>
    <row r="121" s="30" customFormat="1"/>
    <row r="122" s="30" customFormat="1"/>
    <row r="123" s="30" customFormat="1"/>
    <row r="124" s="30" customFormat="1"/>
    <row r="125" s="30" customFormat="1"/>
    <row r="126" s="30" customFormat="1"/>
    <row r="127" s="30" customFormat="1"/>
    <row r="128" s="30" customFormat="1"/>
    <row r="129" s="30" customFormat="1"/>
    <row r="130" s="30" customFormat="1"/>
    <row r="131" s="30" customFormat="1"/>
    <row r="132" s="30" customFormat="1"/>
    <row r="133" s="30" customFormat="1"/>
    <row r="134" s="30" customFormat="1"/>
    <row r="135" s="30" customFormat="1"/>
    <row r="136" s="30" customFormat="1"/>
    <row r="137" s="30" customFormat="1"/>
    <row r="138" s="30" customFormat="1"/>
    <row r="139" s="30" customFormat="1"/>
    <row r="140" s="30" customFormat="1"/>
    <row r="141" s="30" customFormat="1"/>
    <row r="142" s="30" customFormat="1"/>
    <row r="143" s="30" customFormat="1"/>
    <row r="144" s="30" customFormat="1"/>
    <row r="145" s="30" customFormat="1"/>
    <row r="146" s="30" customFormat="1"/>
    <row r="147" s="30" customFormat="1"/>
    <row r="148" s="30" customFormat="1"/>
    <row r="149" s="30" customFormat="1"/>
    <row r="150" s="30" customFormat="1"/>
    <row r="151" s="30" customFormat="1"/>
    <row r="152" s="30" customFormat="1"/>
    <row r="153" s="30" customFormat="1"/>
    <row r="154" s="30" customFormat="1"/>
    <row r="155" s="30" customFormat="1"/>
    <row r="156" s="30" customFormat="1"/>
    <row r="157" s="30" customFormat="1"/>
    <row r="158" s="30" customFormat="1"/>
    <row r="159" s="30" customFormat="1"/>
    <row r="160" s="30" customFormat="1"/>
    <row r="161" s="30" customFormat="1"/>
    <row r="162" s="30" customFormat="1"/>
    <row r="163" s="30" customFormat="1"/>
    <row r="164" s="30" customFormat="1"/>
    <row r="165" s="30" customFormat="1"/>
    <row r="166" s="30" customFormat="1"/>
    <row r="167" s="30" customFormat="1"/>
    <row r="168" s="30" customFormat="1"/>
    <row r="169" s="30" customFormat="1"/>
    <row r="170" s="30" customFormat="1"/>
    <row r="171" s="30" customFormat="1"/>
    <row r="172" s="30" customFormat="1"/>
    <row r="173" s="30" customFormat="1"/>
    <row r="174" s="30" customFormat="1"/>
    <row r="175" s="30" customFormat="1"/>
    <row r="176" s="30" customFormat="1"/>
    <row r="177" s="30" customFormat="1"/>
    <row r="178" s="30" customFormat="1"/>
    <row r="179" s="30" customFormat="1"/>
    <row r="180" s="30" customFormat="1"/>
    <row r="181" s="30" customFormat="1"/>
    <row r="182" s="30" customFormat="1"/>
    <row r="183" s="30" customFormat="1"/>
    <row r="184" s="30" customFormat="1"/>
    <row r="185" s="30" customFormat="1"/>
    <row r="186" s="30" customFormat="1"/>
    <row r="187" s="30" customFormat="1"/>
    <row r="188" s="30" customFormat="1"/>
    <row r="189" s="30" customFormat="1"/>
    <row r="190" s="30" customFormat="1"/>
    <row r="191" s="30" customFormat="1"/>
    <row r="192" s="30" customFormat="1"/>
    <row r="193" s="30" customFormat="1"/>
    <row r="194" s="30" customFormat="1"/>
    <row r="195" s="30" customFormat="1"/>
    <row r="196" s="30" customFormat="1"/>
    <row r="197" s="30" customFormat="1"/>
    <row r="198" s="30" customFormat="1"/>
    <row r="199" s="30" customFormat="1"/>
    <row r="200" s="30" customFormat="1"/>
    <row r="201" s="30" customFormat="1"/>
    <row r="202" s="30" customFormat="1"/>
    <row r="203" s="30" customFormat="1"/>
    <row r="204" s="28" customFormat="1"/>
    <row r="205" s="28" customFormat="1"/>
    <row r="206" s="28" customFormat="1"/>
    <row r="207" s="28" customFormat="1"/>
    <row r="208" s="28" customFormat="1"/>
    <row r="209" s="28" customFormat="1"/>
    <row r="210" s="28" customFormat="1"/>
    <row r="211" s="28" customFormat="1"/>
    <row r="212" s="28" customFormat="1"/>
    <row r="213" s="28" customFormat="1"/>
    <row r="214" s="28" customFormat="1"/>
    <row r="215" s="28" customFormat="1"/>
    <row r="216" s="28" customFormat="1"/>
    <row r="217" s="28" customFormat="1"/>
    <row r="218" s="28" customFormat="1"/>
    <row r="219" s="28" customFormat="1"/>
    <row r="220" s="28" customFormat="1"/>
    <row r="221" s="28" customFormat="1"/>
    <row r="222" s="28" customFormat="1"/>
    <row r="223" s="28" customFormat="1"/>
    <row r="224" s="28" customFormat="1"/>
    <row r="225" s="28" customFormat="1"/>
    <row r="226" s="28" customFormat="1"/>
    <row r="227" s="28" customFormat="1"/>
    <row r="228" s="28" customFormat="1"/>
    <row r="229" s="28" customFormat="1"/>
    <row r="230" s="28" customFormat="1"/>
    <row r="231" s="28" customFormat="1"/>
    <row r="232" s="28" customFormat="1"/>
    <row r="233" s="28" customFormat="1"/>
  </sheetData>
  <mergeCells count="19">
    <mergeCell ref="C27:D27"/>
    <mergeCell ref="C51:D51"/>
    <mergeCell ref="H51:O51"/>
    <mergeCell ref="C17:G17"/>
    <mergeCell ref="C18:D18"/>
    <mergeCell ref="I18:K18"/>
    <mergeCell ref="C19:D19"/>
    <mergeCell ref="C20:D20"/>
    <mergeCell ref="C21:D21"/>
    <mergeCell ref="C1:S1"/>
    <mergeCell ref="C2:S2"/>
    <mergeCell ref="C3:S3"/>
    <mergeCell ref="L6:S6"/>
    <mergeCell ref="L11:S11"/>
    <mergeCell ref="C15:G16"/>
    <mergeCell ref="H15:O16"/>
    <mergeCell ref="P15:P16"/>
    <mergeCell ref="Q15:Q16"/>
    <mergeCell ref="S15:S16"/>
  </mergeCells>
  <pageMargins left="0.75" right="0.5" top="1" bottom="0.5" header="0.28000000000000003" footer="0.31496062992126"/>
  <pageSetup paperSize="5" scale="9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X273"/>
  <sheetViews>
    <sheetView topLeftCell="C11" zoomScaleSheetLayoutView="100" workbookViewId="0">
      <selection activeCell="T29" sqref="T29"/>
    </sheetView>
  </sheetViews>
  <sheetFormatPr defaultRowHeight="15"/>
  <cols>
    <col min="1" max="1" width="0.140625" hidden="1" customWidth="1"/>
    <col min="2" max="2" width="9.7109375" hidden="1" customWidth="1"/>
    <col min="3" max="3" width="2" customWidth="1"/>
    <col min="4" max="6" width="2.85546875" customWidth="1"/>
    <col min="7" max="7" width="1.28515625" customWidth="1"/>
    <col min="8" max="8" width="25.5703125" customWidth="1"/>
    <col min="9" max="9" width="1.5703125" hidden="1" customWidth="1"/>
    <col min="10" max="10" width="2.28515625" customWidth="1"/>
    <col min="11" max="11" width="5.42578125" customWidth="1"/>
    <col min="12" max="12" width="2" bestFit="1" customWidth="1"/>
    <col min="13" max="13" width="4.5703125" customWidth="1"/>
    <col min="14" max="14" width="6.28515625" customWidth="1"/>
    <col min="15" max="15" width="7.42578125" customWidth="1"/>
    <col min="16" max="16" width="7.140625" customWidth="1"/>
    <col min="17" max="17" width="13.42578125" customWidth="1"/>
    <col min="18" max="18" width="13.140625" customWidth="1"/>
    <col min="20" max="20" width="13.5703125" bestFit="1" customWidth="1"/>
  </cols>
  <sheetData>
    <row r="1" spans="3:18" s="242" customFormat="1" ht="18.75">
      <c r="C1" s="853" t="s">
        <v>6</v>
      </c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5"/>
    </row>
    <row r="2" spans="3:18" s="242" customFormat="1" ht="17.25">
      <c r="C2" s="856" t="s">
        <v>292</v>
      </c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8"/>
    </row>
    <row r="3" spans="3:18" s="242" customFormat="1" ht="16.5">
      <c r="C3" s="859" t="s">
        <v>211</v>
      </c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1"/>
    </row>
    <row r="4" spans="3:18" s="242" customFormat="1" ht="16.5">
      <c r="C4" s="292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93"/>
    </row>
    <row r="5" spans="3:18" s="242" customFormat="1" ht="16.5">
      <c r="C5" s="283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94"/>
    </row>
    <row r="6" spans="3:18" s="242" customFormat="1" ht="16.5">
      <c r="C6" s="283" t="s">
        <v>7</v>
      </c>
      <c r="D6" s="295" t="s">
        <v>10</v>
      </c>
      <c r="E6" s="295"/>
      <c r="F6" s="295"/>
      <c r="G6" s="295"/>
      <c r="H6" s="295"/>
      <c r="I6" s="286" t="s">
        <v>12</v>
      </c>
      <c r="J6" s="286" t="s">
        <v>12</v>
      </c>
      <c r="K6" s="851" t="s">
        <v>28</v>
      </c>
      <c r="L6" s="851"/>
      <c r="M6" s="851"/>
      <c r="N6" s="851"/>
      <c r="O6" s="851"/>
      <c r="P6" s="851"/>
      <c r="Q6" s="851"/>
      <c r="R6" s="852"/>
    </row>
    <row r="7" spans="3:18" s="242" customFormat="1" ht="16.5">
      <c r="C7" s="283" t="s">
        <v>8</v>
      </c>
      <c r="D7" s="295" t="s">
        <v>11</v>
      </c>
      <c r="E7" s="295"/>
      <c r="F7" s="295"/>
      <c r="G7" s="295"/>
      <c r="H7" s="295"/>
      <c r="I7" s="286" t="s">
        <v>12</v>
      </c>
      <c r="J7" s="286" t="s">
        <v>12</v>
      </c>
      <c r="K7" s="295" t="s">
        <v>72</v>
      </c>
      <c r="L7" s="295"/>
      <c r="M7" s="295"/>
      <c r="N7" s="295"/>
      <c r="O7" s="295"/>
      <c r="P7" s="295"/>
      <c r="Q7" s="295"/>
      <c r="R7" s="296"/>
    </row>
    <row r="8" spans="3:18" s="242" customFormat="1" ht="16.5">
      <c r="C8" s="283" t="s">
        <v>9</v>
      </c>
      <c r="D8" s="295" t="s">
        <v>22</v>
      </c>
      <c r="E8" s="295"/>
      <c r="F8" s="295"/>
      <c r="G8" s="295"/>
      <c r="H8" s="295"/>
      <c r="I8" s="286" t="s">
        <v>12</v>
      </c>
      <c r="J8" s="286" t="s">
        <v>12</v>
      </c>
      <c r="K8" s="851" t="s">
        <v>76</v>
      </c>
      <c r="L8" s="851"/>
      <c r="M8" s="851"/>
      <c r="N8" s="851"/>
      <c r="O8" s="851"/>
      <c r="P8" s="851"/>
      <c r="Q8" s="851"/>
      <c r="R8" s="852"/>
    </row>
    <row r="9" spans="3:18" s="242" customFormat="1" ht="16.5">
      <c r="C9" s="297" t="s">
        <v>312</v>
      </c>
      <c r="D9" s="295" t="s">
        <v>216</v>
      </c>
      <c r="E9" s="295"/>
      <c r="F9" s="295"/>
      <c r="G9" s="295"/>
      <c r="H9" s="286"/>
      <c r="I9" s="286"/>
      <c r="J9" s="286" t="s">
        <v>12</v>
      </c>
      <c r="K9" s="298" t="s">
        <v>481</v>
      </c>
      <c r="L9" s="298"/>
      <c r="M9" s="298"/>
      <c r="N9" s="298"/>
      <c r="O9" s="298"/>
      <c r="P9" s="298"/>
      <c r="Q9" s="298"/>
      <c r="R9" s="299"/>
    </row>
    <row r="10" spans="3:18" s="242" customFormat="1" ht="6" customHeight="1">
      <c r="C10" s="283"/>
      <c r="D10" s="295"/>
      <c r="E10" s="295"/>
      <c r="F10" s="295"/>
      <c r="G10" s="295"/>
      <c r="H10" s="286"/>
      <c r="I10" s="286"/>
      <c r="J10" s="286"/>
      <c r="K10" s="298"/>
      <c r="L10" s="298"/>
      <c r="M10" s="298"/>
      <c r="N10" s="298"/>
      <c r="O10" s="298"/>
      <c r="P10" s="298"/>
      <c r="Q10" s="298"/>
      <c r="R10" s="299"/>
    </row>
    <row r="11" spans="3:18" s="242" customFormat="1" ht="16.5">
      <c r="C11" s="300" t="s">
        <v>279</v>
      </c>
      <c r="D11" s="301"/>
      <c r="E11" s="301"/>
      <c r="F11" s="301"/>
      <c r="G11" s="301"/>
      <c r="H11" s="302" t="s">
        <v>12</v>
      </c>
      <c r="I11" s="286"/>
      <c r="J11" s="286"/>
      <c r="K11" s="298"/>
      <c r="L11" s="298"/>
      <c r="M11" s="298"/>
      <c r="N11" s="298"/>
      <c r="O11" s="298"/>
      <c r="P11" s="298"/>
      <c r="Q11" s="298"/>
      <c r="R11" s="299"/>
    </row>
    <row r="12" spans="3:18" s="242" customFormat="1" ht="5.25" customHeight="1">
      <c r="C12" s="283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5"/>
    </row>
    <row r="13" spans="3:18" s="243" customFormat="1" ht="12.75">
      <c r="C13" s="775" t="s">
        <v>0</v>
      </c>
      <c r="D13" s="776"/>
      <c r="E13" s="776"/>
      <c r="F13" s="777"/>
      <c r="G13" s="775" t="s">
        <v>1</v>
      </c>
      <c r="H13" s="776"/>
      <c r="I13" s="776"/>
      <c r="J13" s="776"/>
      <c r="K13" s="776"/>
      <c r="L13" s="776"/>
      <c r="M13" s="776"/>
      <c r="N13" s="777"/>
      <c r="O13" s="780" t="s">
        <v>2</v>
      </c>
      <c r="P13" s="780" t="s">
        <v>47</v>
      </c>
      <c r="Q13" s="290" t="s">
        <v>4</v>
      </c>
      <c r="R13" s="780" t="s">
        <v>3</v>
      </c>
    </row>
    <row r="14" spans="3:18" s="243" customFormat="1" ht="12.75">
      <c r="C14" s="863"/>
      <c r="D14" s="778"/>
      <c r="E14" s="778"/>
      <c r="F14" s="779"/>
      <c r="G14" s="863"/>
      <c r="H14" s="778"/>
      <c r="I14" s="778"/>
      <c r="J14" s="778"/>
      <c r="K14" s="778"/>
      <c r="L14" s="778"/>
      <c r="M14" s="778"/>
      <c r="N14" s="779"/>
      <c r="O14" s="781"/>
      <c r="P14" s="781"/>
      <c r="Q14" s="291" t="s">
        <v>5</v>
      </c>
      <c r="R14" s="781"/>
    </row>
    <row r="15" spans="3:18" s="237" customFormat="1" ht="12.75" customHeight="1">
      <c r="C15" s="864">
        <v>1</v>
      </c>
      <c r="D15" s="865"/>
      <c r="E15" s="865"/>
      <c r="F15" s="866"/>
      <c r="G15" s="864">
        <v>2</v>
      </c>
      <c r="H15" s="865"/>
      <c r="I15" s="865"/>
      <c r="J15" s="865"/>
      <c r="K15" s="865"/>
      <c r="L15" s="865"/>
      <c r="M15" s="865"/>
      <c r="N15" s="866"/>
      <c r="O15" s="239">
        <v>3</v>
      </c>
      <c r="P15" s="239"/>
      <c r="Q15" s="239">
        <v>4</v>
      </c>
      <c r="R15" s="239">
        <v>5</v>
      </c>
    </row>
    <row r="16" spans="3:18" s="242" customFormat="1" ht="15" customHeight="1">
      <c r="C16" s="252">
        <v>2</v>
      </c>
      <c r="D16" s="253">
        <v>1</v>
      </c>
      <c r="E16" s="253">
        <v>1</v>
      </c>
      <c r="F16" s="253">
        <v>1</v>
      </c>
      <c r="G16" s="862" t="s">
        <v>13</v>
      </c>
      <c r="H16" s="862"/>
      <c r="I16" s="862"/>
      <c r="J16" s="254"/>
      <c r="K16" s="254"/>
      <c r="L16" s="254"/>
      <c r="M16" s="254"/>
      <c r="N16" s="255"/>
      <c r="O16" s="256"/>
      <c r="P16" s="256"/>
      <c r="Q16" s="256"/>
      <c r="R16" s="256"/>
    </row>
    <row r="17" spans="3:24" s="242" customFormat="1" ht="15" customHeight="1">
      <c r="C17" s="257"/>
      <c r="D17" s="258"/>
      <c r="E17" s="258"/>
      <c r="F17" s="258"/>
      <c r="G17" s="259" t="s">
        <v>14</v>
      </c>
      <c r="H17" s="260" t="s">
        <v>15</v>
      </c>
      <c r="I17" s="261"/>
      <c r="J17" s="261"/>
      <c r="K17" s="261"/>
      <c r="L17" s="261"/>
      <c r="M17" s="261"/>
      <c r="N17" s="262"/>
      <c r="O17" s="263"/>
      <c r="P17" s="263"/>
      <c r="Q17" s="263"/>
      <c r="R17" s="264">
        <f>SUM(R18:R20)</f>
        <v>95086400</v>
      </c>
    </row>
    <row r="18" spans="3:24" s="242" customFormat="1" ht="15" customHeight="1">
      <c r="C18" s="257"/>
      <c r="D18" s="258"/>
      <c r="E18" s="258"/>
      <c r="F18" s="258"/>
      <c r="G18" s="265"/>
      <c r="H18" s="260" t="s">
        <v>16</v>
      </c>
      <c r="I18" s="260"/>
      <c r="J18" s="265">
        <v>1</v>
      </c>
      <c r="K18" s="265" t="s">
        <v>17</v>
      </c>
      <c r="L18" s="265" t="s">
        <v>20</v>
      </c>
      <c r="M18" s="265">
        <v>7</v>
      </c>
      <c r="N18" s="266" t="s">
        <v>21</v>
      </c>
      <c r="O18" s="258">
        <f>J18*M18</f>
        <v>7</v>
      </c>
      <c r="P18" s="258" t="s">
        <v>39</v>
      </c>
      <c r="Q18" s="267">
        <v>2000000</v>
      </c>
      <c r="R18" s="267">
        <f>O18*Q18</f>
        <v>14000000</v>
      </c>
      <c r="T18" s="282">
        <f>SUM(T19:T20)</f>
        <v>33786000</v>
      </c>
    </row>
    <row r="19" spans="3:24" s="242" customFormat="1" ht="15" customHeight="1">
      <c r="C19" s="257"/>
      <c r="D19" s="258"/>
      <c r="E19" s="258"/>
      <c r="F19" s="258"/>
      <c r="G19" s="265"/>
      <c r="H19" s="260" t="s">
        <v>18</v>
      </c>
      <c r="I19" s="260"/>
      <c r="J19" s="265">
        <v>4</v>
      </c>
      <c r="K19" s="265" t="s">
        <v>17</v>
      </c>
      <c r="L19" s="265" t="s">
        <v>20</v>
      </c>
      <c r="M19" s="265">
        <v>12</v>
      </c>
      <c r="N19" s="266" t="s">
        <v>21</v>
      </c>
      <c r="O19" s="258">
        <f>J19*M19</f>
        <v>48</v>
      </c>
      <c r="P19" s="258" t="s">
        <v>39</v>
      </c>
      <c r="Q19" s="267">
        <v>900000</v>
      </c>
      <c r="R19" s="267">
        <f>O19*Q19</f>
        <v>43200000</v>
      </c>
      <c r="T19" s="271">
        <f>4*5*900000</f>
        <v>18000000</v>
      </c>
    </row>
    <row r="20" spans="3:24" s="242" customFormat="1" ht="15" customHeight="1">
      <c r="C20" s="257"/>
      <c r="D20" s="258"/>
      <c r="E20" s="258"/>
      <c r="F20" s="258"/>
      <c r="G20" s="265"/>
      <c r="H20" s="260" t="s">
        <v>19</v>
      </c>
      <c r="I20" s="260"/>
      <c r="J20" s="265">
        <v>4</v>
      </c>
      <c r="K20" s="265" t="s">
        <v>17</v>
      </c>
      <c r="L20" s="265" t="s">
        <v>20</v>
      </c>
      <c r="M20" s="265">
        <v>12</v>
      </c>
      <c r="N20" s="266" t="s">
        <v>21</v>
      </c>
      <c r="O20" s="258">
        <f>J20*M20</f>
        <v>48</v>
      </c>
      <c r="P20" s="258" t="s">
        <v>39</v>
      </c>
      <c r="Q20" s="267">
        <v>789300</v>
      </c>
      <c r="R20" s="267">
        <f>O20*Q20</f>
        <v>37886400</v>
      </c>
      <c r="T20" s="271">
        <f>J20*5*789300</f>
        <v>15786000</v>
      </c>
    </row>
    <row r="21" spans="3:24" s="242" customFormat="1" ht="15" customHeight="1">
      <c r="C21" s="257"/>
      <c r="D21" s="258"/>
      <c r="E21" s="258"/>
      <c r="F21" s="258"/>
      <c r="G21" s="265"/>
      <c r="H21" s="260"/>
      <c r="I21" s="260"/>
      <c r="J21" s="260"/>
      <c r="K21" s="260"/>
      <c r="L21" s="260"/>
      <c r="M21" s="260"/>
      <c r="N21" s="262"/>
      <c r="O21" s="263"/>
      <c r="P21" s="258"/>
      <c r="Q21" s="263"/>
      <c r="R21" s="263"/>
      <c r="T21" s="268" t="s">
        <v>46</v>
      </c>
      <c r="U21" s="268"/>
      <c r="V21" s="268"/>
      <c r="W21" s="268"/>
      <c r="X21" s="268"/>
    </row>
    <row r="22" spans="3:24" s="242" customFormat="1" ht="15" customHeight="1">
      <c r="C22" s="257"/>
      <c r="D22" s="258"/>
      <c r="E22" s="258"/>
      <c r="F22" s="258"/>
      <c r="G22" s="259" t="s">
        <v>14</v>
      </c>
      <c r="H22" s="260" t="s">
        <v>271</v>
      </c>
      <c r="I22" s="261"/>
      <c r="J22" s="261"/>
      <c r="K22" s="261"/>
      <c r="L22" s="261"/>
      <c r="M22" s="261"/>
      <c r="N22" s="262"/>
      <c r="O22" s="263"/>
      <c r="P22" s="263"/>
      <c r="Q22" s="263"/>
      <c r="R22" s="264">
        <f>SUM(R23:R25)</f>
        <v>7087500</v>
      </c>
      <c r="T22" s="268"/>
      <c r="U22" s="268"/>
      <c r="V22" s="268"/>
      <c r="W22" s="268"/>
      <c r="X22" s="268"/>
    </row>
    <row r="23" spans="3:24" s="242" customFormat="1" ht="15" customHeight="1">
      <c r="C23" s="257"/>
      <c r="D23" s="258"/>
      <c r="E23" s="258"/>
      <c r="F23" s="258"/>
      <c r="G23" s="265"/>
      <c r="H23" s="260" t="s">
        <v>16</v>
      </c>
      <c r="I23" s="260"/>
      <c r="J23" s="265">
        <v>1</v>
      </c>
      <c r="K23" s="265" t="s">
        <v>428</v>
      </c>
      <c r="L23" s="265" t="s">
        <v>20</v>
      </c>
      <c r="M23" s="265">
        <v>7</v>
      </c>
      <c r="N23" s="266" t="s">
        <v>21</v>
      </c>
      <c r="O23" s="258">
        <f>J23*M23</f>
        <v>7</v>
      </c>
      <c r="P23" s="258" t="s">
        <v>43</v>
      </c>
      <c r="Q23" s="267">
        <v>112500</v>
      </c>
      <c r="R23" s="267">
        <f>O23*Q23</f>
        <v>787500</v>
      </c>
      <c r="T23" s="268"/>
      <c r="U23" s="268"/>
      <c r="V23" s="268"/>
      <c r="W23" s="268"/>
      <c r="X23" s="268"/>
    </row>
    <row r="24" spans="3:24" s="242" customFormat="1" ht="15" customHeight="1">
      <c r="C24" s="257"/>
      <c r="D24" s="258"/>
      <c r="E24" s="258"/>
      <c r="F24" s="258"/>
      <c r="G24" s="265"/>
      <c r="H24" s="260" t="s">
        <v>18</v>
      </c>
      <c r="I24" s="260"/>
      <c r="J24" s="265">
        <v>4</v>
      </c>
      <c r="K24" s="265" t="s">
        <v>428</v>
      </c>
      <c r="L24" s="265" t="s">
        <v>20</v>
      </c>
      <c r="M24" s="265">
        <v>7</v>
      </c>
      <c r="N24" s="266" t="s">
        <v>21</v>
      </c>
      <c r="O24" s="258">
        <f>J24*M24</f>
        <v>28</v>
      </c>
      <c r="P24" s="258" t="s">
        <v>43</v>
      </c>
      <c r="Q24" s="267">
        <v>112500</v>
      </c>
      <c r="R24" s="267">
        <f>O24*Q24</f>
        <v>3150000</v>
      </c>
      <c r="T24" s="651">
        <f>R24+R25</f>
        <v>6300000</v>
      </c>
      <c r="U24" s="268"/>
      <c r="V24" s="268"/>
      <c r="W24" s="268"/>
      <c r="X24" s="268"/>
    </row>
    <row r="25" spans="3:24" s="242" customFormat="1" ht="15" customHeight="1">
      <c r="C25" s="257"/>
      <c r="D25" s="258"/>
      <c r="E25" s="258"/>
      <c r="F25" s="258"/>
      <c r="G25" s="265"/>
      <c r="H25" s="260" t="s">
        <v>19</v>
      </c>
      <c r="I25" s="260"/>
      <c r="J25" s="265">
        <v>4</v>
      </c>
      <c r="K25" s="265" t="s">
        <v>428</v>
      </c>
      <c r="L25" s="265" t="s">
        <v>20</v>
      </c>
      <c r="M25" s="265">
        <v>7</v>
      </c>
      <c r="N25" s="266" t="s">
        <v>21</v>
      </c>
      <c r="O25" s="258">
        <f>J25*M25</f>
        <v>28</v>
      </c>
      <c r="P25" s="258" t="s">
        <v>43</v>
      </c>
      <c r="Q25" s="267">
        <v>112500</v>
      </c>
      <c r="R25" s="267">
        <f>O25*Q25</f>
        <v>3150000</v>
      </c>
      <c r="T25" s="268"/>
      <c r="U25" s="268"/>
      <c r="V25" s="268"/>
      <c r="W25" s="268"/>
      <c r="X25" s="268"/>
    </row>
    <row r="26" spans="3:24" s="242" customFormat="1" ht="15" customHeight="1">
      <c r="C26" s="257"/>
      <c r="D26" s="258"/>
      <c r="E26" s="258"/>
      <c r="F26" s="258"/>
      <c r="G26" s="265"/>
      <c r="H26" s="260"/>
      <c r="I26" s="260"/>
      <c r="J26" s="260"/>
      <c r="K26" s="260"/>
      <c r="L26" s="260"/>
      <c r="M26" s="260"/>
      <c r="N26" s="262"/>
      <c r="O26" s="263"/>
      <c r="P26" s="258"/>
      <c r="Q26" s="263"/>
      <c r="R26" s="263"/>
      <c r="T26" s="268"/>
      <c r="U26" s="268"/>
      <c r="V26" s="268"/>
      <c r="W26" s="268"/>
      <c r="X26" s="268"/>
    </row>
    <row r="27" spans="3:24" s="242" customFormat="1" ht="15" customHeight="1">
      <c r="C27" s="257"/>
      <c r="D27" s="258"/>
      <c r="E27" s="258"/>
      <c r="F27" s="258"/>
      <c r="G27" s="269" t="s">
        <v>14</v>
      </c>
      <c r="H27" s="260" t="s">
        <v>23</v>
      </c>
      <c r="I27" s="260"/>
      <c r="J27" s="260"/>
      <c r="K27" s="260"/>
      <c r="L27" s="260"/>
      <c r="M27" s="260"/>
      <c r="N27" s="262"/>
      <c r="O27" s="263"/>
      <c r="P27" s="258"/>
      <c r="Q27" s="263"/>
      <c r="R27" s="264">
        <f>SUM(R28:R31)</f>
        <v>15600000</v>
      </c>
      <c r="T27" s="282">
        <f>SUM(T28:T31)</f>
        <v>6500000</v>
      </c>
    </row>
    <row r="28" spans="3:24" s="242" customFormat="1" ht="15" customHeight="1">
      <c r="C28" s="257"/>
      <c r="D28" s="258"/>
      <c r="E28" s="258"/>
      <c r="F28" s="258"/>
      <c r="G28" s="259"/>
      <c r="H28" s="260" t="s">
        <v>24</v>
      </c>
      <c r="I28" s="260"/>
      <c r="J28" s="265">
        <v>1</v>
      </c>
      <c r="K28" s="260" t="s">
        <v>17</v>
      </c>
      <c r="L28" s="265" t="s">
        <v>20</v>
      </c>
      <c r="M28" s="265">
        <v>12</v>
      </c>
      <c r="N28" s="266" t="s">
        <v>21</v>
      </c>
      <c r="O28" s="258">
        <f>J28*M28</f>
        <v>12</v>
      </c>
      <c r="P28" s="258" t="s">
        <v>39</v>
      </c>
      <c r="Q28" s="267">
        <v>300000</v>
      </c>
      <c r="R28" s="270">
        <f>SUM(O28*Q28)</f>
        <v>3600000</v>
      </c>
      <c r="T28" s="271">
        <f>J28*5*300000</f>
        <v>1500000</v>
      </c>
    </row>
    <row r="29" spans="3:24" s="242" customFormat="1" ht="15" customHeight="1">
      <c r="C29" s="257"/>
      <c r="D29" s="258"/>
      <c r="E29" s="258"/>
      <c r="F29" s="258"/>
      <c r="G29" s="259"/>
      <c r="H29" s="260" t="s">
        <v>25</v>
      </c>
      <c r="I29" s="260"/>
      <c r="J29" s="265">
        <v>1</v>
      </c>
      <c r="K29" s="260" t="s">
        <v>17</v>
      </c>
      <c r="L29" s="265" t="s">
        <v>20</v>
      </c>
      <c r="M29" s="265">
        <v>12</v>
      </c>
      <c r="N29" s="266" t="s">
        <v>21</v>
      </c>
      <c r="O29" s="258">
        <f>J29*M29</f>
        <v>12</v>
      </c>
      <c r="P29" s="258" t="s">
        <v>39</v>
      </c>
      <c r="Q29" s="267">
        <v>200000</v>
      </c>
      <c r="R29" s="270">
        <f>SUM(O29*Q29)</f>
        <v>2400000</v>
      </c>
      <c r="T29" s="271">
        <f>J29*5*200000</f>
        <v>1000000</v>
      </c>
    </row>
    <row r="30" spans="3:24" s="242" customFormat="1" ht="15" customHeight="1">
      <c r="C30" s="257"/>
      <c r="D30" s="258"/>
      <c r="E30" s="258"/>
      <c r="F30" s="258"/>
      <c r="G30" s="265"/>
      <c r="H30" s="260" t="s">
        <v>26</v>
      </c>
      <c r="I30" s="260"/>
      <c r="J30" s="265">
        <v>1</v>
      </c>
      <c r="K30" s="260" t="s">
        <v>17</v>
      </c>
      <c r="L30" s="265" t="s">
        <v>20</v>
      </c>
      <c r="M30" s="265">
        <v>12</v>
      </c>
      <c r="N30" s="266" t="s">
        <v>21</v>
      </c>
      <c r="O30" s="258">
        <f>J30*M30</f>
        <v>12</v>
      </c>
      <c r="P30" s="258" t="s">
        <v>39</v>
      </c>
      <c r="Q30" s="267">
        <v>200000</v>
      </c>
      <c r="R30" s="270">
        <f>SUM(O30*Q30)</f>
        <v>2400000</v>
      </c>
      <c r="T30" s="271">
        <f>J30*5*200000</f>
        <v>1000000</v>
      </c>
    </row>
    <row r="31" spans="3:24" s="242" customFormat="1" ht="15" customHeight="1">
      <c r="C31" s="257"/>
      <c r="D31" s="258"/>
      <c r="E31" s="258"/>
      <c r="F31" s="258"/>
      <c r="G31" s="265"/>
      <c r="H31" s="260" t="s">
        <v>27</v>
      </c>
      <c r="I31" s="260"/>
      <c r="J31" s="265">
        <v>4</v>
      </c>
      <c r="K31" s="260" t="s">
        <v>17</v>
      </c>
      <c r="L31" s="265" t="s">
        <v>20</v>
      </c>
      <c r="M31" s="265">
        <v>12</v>
      </c>
      <c r="N31" s="266" t="s">
        <v>21</v>
      </c>
      <c r="O31" s="258">
        <f>J31*M31</f>
        <v>48</v>
      </c>
      <c r="P31" s="258" t="s">
        <v>39</v>
      </c>
      <c r="Q31" s="267">
        <v>150000</v>
      </c>
      <c r="R31" s="270">
        <f>SUM(O31*Q31)</f>
        <v>7200000</v>
      </c>
      <c r="T31" s="271">
        <f>J31*5*150000</f>
        <v>3000000</v>
      </c>
    </row>
    <row r="32" spans="3:24" s="242" customFormat="1" ht="15" customHeight="1">
      <c r="C32" s="272"/>
      <c r="D32" s="273"/>
      <c r="E32" s="273"/>
      <c r="F32" s="273"/>
      <c r="G32" s="274"/>
      <c r="H32" s="275"/>
      <c r="I32" s="275"/>
      <c r="J32" s="274"/>
      <c r="K32" s="275"/>
      <c r="L32" s="274"/>
      <c r="M32" s="274"/>
      <c r="N32" s="276"/>
      <c r="O32" s="273"/>
      <c r="P32" s="273"/>
      <c r="Q32" s="277"/>
      <c r="R32" s="278"/>
    </row>
    <row r="33" spans="3:18" s="242" customFormat="1" ht="15" customHeight="1">
      <c r="C33" s="279"/>
      <c r="D33" s="251"/>
      <c r="E33" s="251"/>
      <c r="F33" s="251"/>
      <c r="G33" s="848" t="s">
        <v>163</v>
      </c>
      <c r="H33" s="849"/>
      <c r="I33" s="849"/>
      <c r="J33" s="849"/>
      <c r="K33" s="849"/>
      <c r="L33" s="849"/>
      <c r="M33" s="849"/>
      <c r="N33" s="850"/>
      <c r="O33" s="251"/>
      <c r="P33" s="251"/>
      <c r="Q33" s="280"/>
      <c r="R33" s="281">
        <f>SUM(R17+R27)+R22</f>
        <v>117773900</v>
      </c>
    </row>
    <row r="34" spans="3:18" s="242" customFormat="1" ht="16.5">
      <c r="C34" s="283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5"/>
    </row>
    <row r="35" spans="3:18" s="242" customFormat="1" ht="16.5">
      <c r="C35" s="283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5"/>
    </row>
    <row r="36" spans="3:18" s="242" customFormat="1" ht="16.5">
      <c r="C36" s="283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 t="s">
        <v>550</v>
      </c>
      <c r="R36" s="285"/>
    </row>
    <row r="37" spans="3:18" s="242" customFormat="1" ht="16.5">
      <c r="C37" s="283"/>
      <c r="D37" s="284"/>
      <c r="E37" s="284"/>
      <c r="F37" s="284"/>
      <c r="G37" s="284"/>
      <c r="H37" s="286" t="s">
        <v>167</v>
      </c>
      <c r="I37" s="284"/>
      <c r="J37" s="284"/>
      <c r="K37" s="284"/>
      <c r="L37" s="284"/>
      <c r="M37" s="284"/>
      <c r="N37" s="284"/>
      <c r="O37" s="284"/>
      <c r="P37" s="284"/>
      <c r="Q37" s="284" t="s">
        <v>193</v>
      </c>
      <c r="R37" s="285"/>
    </row>
    <row r="38" spans="3:18" s="242" customFormat="1" ht="16.5">
      <c r="C38" s="283"/>
      <c r="D38" s="284"/>
      <c r="E38" s="284"/>
      <c r="F38" s="284"/>
      <c r="G38" s="284"/>
      <c r="H38" s="286" t="s">
        <v>403</v>
      </c>
      <c r="I38" s="284"/>
      <c r="J38" s="284"/>
      <c r="K38" s="284"/>
      <c r="L38" s="284"/>
      <c r="M38" s="284"/>
      <c r="N38" s="284"/>
      <c r="O38" s="284"/>
      <c r="P38" s="284"/>
      <c r="Q38" s="284"/>
      <c r="R38" s="285"/>
    </row>
    <row r="39" spans="3:18" s="242" customFormat="1" ht="16.5">
      <c r="C39" s="283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5"/>
    </row>
    <row r="40" spans="3:18" s="242" customFormat="1" ht="16.5">
      <c r="C40" s="283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5"/>
    </row>
    <row r="41" spans="3:18" s="242" customFormat="1" ht="16.5">
      <c r="C41" s="283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5"/>
    </row>
    <row r="42" spans="3:18" s="242" customFormat="1" ht="16.5">
      <c r="C42" s="283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5"/>
    </row>
    <row r="43" spans="3:18" s="242" customFormat="1" ht="16.5">
      <c r="C43" s="283"/>
      <c r="D43" s="284"/>
      <c r="E43" s="284"/>
      <c r="F43" s="284"/>
      <c r="G43" s="284"/>
      <c r="H43" s="303" t="s">
        <v>306</v>
      </c>
      <c r="I43" s="284"/>
      <c r="J43" s="284"/>
      <c r="K43" s="284"/>
      <c r="L43" s="284"/>
      <c r="M43" s="284"/>
      <c r="N43" s="284"/>
      <c r="O43" s="284"/>
      <c r="P43" s="284"/>
      <c r="Q43" s="303" t="s">
        <v>551</v>
      </c>
      <c r="R43" s="285"/>
    </row>
    <row r="44" spans="3:18" s="242" customFormat="1" ht="16.5">
      <c r="C44" s="287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9"/>
    </row>
    <row r="45" spans="3:18" s="242" customFormat="1" ht="16.5"/>
    <row r="46" spans="3:18" s="242" customFormat="1" ht="16.5"/>
    <row r="47" spans="3:18" s="242" customFormat="1" ht="16.5"/>
    <row r="48" spans="3:18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37" customFormat="1" ht="13.5"/>
    <row r="71" s="237" customFormat="1" ht="13.5"/>
    <row r="72" s="237" customFormat="1" ht="13.5"/>
    <row r="73" s="237" customFormat="1" ht="13.5"/>
    <row r="74" s="237" customFormat="1" ht="13.5"/>
    <row r="75" s="237" customFormat="1" ht="13.5"/>
    <row r="76" s="237" customFormat="1" ht="13.5"/>
    <row r="77" s="237" customFormat="1" ht="13.5"/>
    <row r="78" s="237" customFormat="1" ht="13.5"/>
    <row r="79" s="237" customFormat="1" ht="13.5"/>
    <row r="80" s="237" customFormat="1" ht="13.5"/>
    <row r="81" s="237" customFormat="1" ht="13.5"/>
    <row r="82" s="237" customFormat="1" ht="13.5"/>
    <row r="83" s="237" customFormat="1" ht="13.5"/>
    <row r="84" s="237" customFormat="1" ht="13.5"/>
    <row r="85" s="237" customFormat="1" ht="13.5"/>
    <row r="86" s="237" customFormat="1" ht="13.5"/>
    <row r="87" s="237" customFormat="1" ht="13.5"/>
    <row r="88" s="237" customFormat="1" ht="13.5"/>
    <row r="89" s="237" customFormat="1" ht="13.5"/>
    <row r="90" s="237" customFormat="1" ht="13.5"/>
    <row r="91" s="237" customFormat="1" ht="13.5"/>
    <row r="92" s="237" customFormat="1" ht="13.5"/>
    <row r="93" s="237" customFormat="1" ht="13.5"/>
    <row r="94" s="237" customFormat="1" ht="13.5"/>
    <row r="95" s="237" customFormat="1" ht="13.5"/>
    <row r="96" s="237" customFormat="1" ht="13.5"/>
    <row r="97" s="237" customFormat="1" ht="13.5"/>
    <row r="98" s="237" customFormat="1" ht="13.5"/>
    <row r="99" s="237" customFormat="1" ht="13.5"/>
    <row r="100" s="237" customFormat="1" ht="13.5"/>
    <row r="101" s="237" customFormat="1" ht="13.5"/>
    <row r="102" s="237" customFormat="1" ht="13.5"/>
    <row r="103" s="237" customFormat="1" ht="13.5"/>
    <row r="104" s="237" customFormat="1" ht="13.5"/>
    <row r="105" s="237" customFormat="1" ht="13.5"/>
    <row r="106" s="237" customFormat="1" ht="13.5"/>
    <row r="107" s="237" customFormat="1" ht="13.5"/>
    <row r="108" s="237" customFormat="1" ht="13.5"/>
    <row r="109" s="237" customFormat="1" ht="13.5"/>
    <row r="110" s="237" customFormat="1" ht="13.5"/>
    <row r="111" s="237" customFormat="1" ht="13.5"/>
    <row r="112" s="237" customFormat="1" ht="13.5"/>
    <row r="113" s="237" customFormat="1" ht="13.5"/>
    <row r="114" s="237" customFormat="1" ht="13.5"/>
    <row r="115" s="237" customFormat="1" ht="13.5"/>
    <row r="116" s="237" customFormat="1" ht="13.5"/>
    <row r="117" s="237" customFormat="1" ht="13.5"/>
    <row r="118" s="237" customFormat="1" ht="13.5"/>
    <row r="119" s="237" customFormat="1" ht="13.5"/>
    <row r="120" s="237" customFormat="1" ht="13.5"/>
    <row r="121" s="237" customFormat="1" ht="13.5"/>
    <row r="122" s="237" customFormat="1" ht="13.5"/>
    <row r="123" s="237" customFormat="1" ht="13.5"/>
    <row r="124" s="237" customFormat="1" ht="13.5"/>
    <row r="125" s="237" customFormat="1" ht="13.5"/>
    <row r="126" s="237" customFormat="1" ht="13.5"/>
    <row r="127" s="237" customFormat="1" ht="13.5"/>
    <row r="128" s="237" customFormat="1" ht="13.5"/>
    <row r="129" s="237" customFormat="1" ht="13.5"/>
    <row r="130" s="237" customFormat="1" ht="13.5"/>
    <row r="131" s="237" customFormat="1" ht="13.5"/>
    <row r="132" s="237" customFormat="1" ht="13.5"/>
    <row r="133" s="237" customFormat="1" ht="13.5"/>
    <row r="134" s="237" customFormat="1" ht="13.5"/>
    <row r="135" s="237" customFormat="1" ht="13.5"/>
    <row r="136" s="237" customFormat="1" ht="13.5"/>
    <row r="137" s="237" customFormat="1" ht="13.5"/>
    <row r="138" s="237" customFormat="1" ht="13.5"/>
    <row r="139" s="237" customFormat="1" ht="13.5"/>
    <row r="140" s="237" customFormat="1" ht="13.5"/>
    <row r="141" s="237" customFormat="1" ht="13.5"/>
    <row r="142" s="237" customFormat="1" ht="13.5"/>
    <row r="143" s="237" customFormat="1" ht="13.5"/>
    <row r="144" s="237" customFormat="1" ht="13.5"/>
    <row r="145" s="237" customFormat="1" ht="13.5"/>
    <row r="146" s="237" customFormat="1" ht="13.5"/>
    <row r="147" s="237" customFormat="1" ht="13.5"/>
    <row r="148" s="237" customFormat="1" ht="13.5"/>
    <row r="149" s="237" customFormat="1" ht="13.5"/>
    <row r="150" s="237" customFormat="1" ht="13.5"/>
    <row r="151" s="237" customFormat="1" ht="13.5"/>
    <row r="152" s="237" customFormat="1" ht="13.5"/>
    <row r="153" s="237" customFormat="1" ht="13.5"/>
    <row r="154" s="237" customFormat="1" ht="13.5"/>
    <row r="155" s="237" customFormat="1" ht="13.5"/>
    <row r="156" s="237" customFormat="1" ht="13.5"/>
    <row r="157" s="237" customFormat="1" ht="13.5"/>
    <row r="158" s="237" customFormat="1" ht="13.5"/>
    <row r="159" s="237" customFormat="1" ht="13.5"/>
    <row r="160" s="237" customFormat="1" ht="13.5"/>
    <row r="161" s="237" customFormat="1" ht="13.5"/>
    <row r="162" s="237" customFormat="1" ht="13.5"/>
    <row r="163" s="237" customFormat="1" ht="13.5"/>
    <row r="164" s="237" customFormat="1" ht="13.5"/>
    <row r="165" s="237" customFormat="1" ht="13.5"/>
    <row r="166" s="237" customFormat="1" ht="13.5"/>
    <row r="167" s="237" customFormat="1" ht="13.5"/>
    <row r="168" s="237" customFormat="1" ht="13.5"/>
    <row r="169" s="237" customFormat="1" ht="13.5"/>
    <row r="170" s="237" customFormat="1" ht="13.5"/>
    <row r="171" s="237" customFormat="1" ht="13.5"/>
    <row r="172" s="237" customFormat="1" ht="13.5"/>
    <row r="173" s="237" customFormat="1" ht="13.5"/>
    <row r="174" s="237" customFormat="1" ht="13.5"/>
    <row r="175" s="237" customFormat="1" ht="13.5"/>
    <row r="176" s="237" customFormat="1" ht="13.5"/>
    <row r="177" s="237" customFormat="1" ht="13.5"/>
    <row r="178" s="237" customFormat="1" ht="13.5"/>
    <row r="179" s="237" customFormat="1" ht="13.5"/>
    <row r="180" s="237" customFormat="1" ht="13.5"/>
    <row r="181" s="237" customFormat="1" ht="13.5"/>
    <row r="182" s="237" customFormat="1" ht="13.5"/>
    <row r="183" s="237" customFormat="1" ht="13.5"/>
    <row r="184" s="237" customFormat="1" ht="13.5"/>
    <row r="185" s="237" customFormat="1" ht="13.5"/>
    <row r="186" s="237" customFormat="1" ht="13.5"/>
    <row r="187" s="237" customFormat="1" ht="13.5"/>
    <row r="188" s="237" customFormat="1" ht="13.5"/>
    <row r="189" s="237" customFormat="1" ht="13.5"/>
    <row r="190" s="237" customFormat="1" ht="13.5"/>
    <row r="191" s="237" customFormat="1" ht="13.5"/>
    <row r="192" s="237" customFormat="1" ht="13.5"/>
    <row r="193" s="237" customFormat="1" ht="13.5"/>
    <row r="194" s="237" customFormat="1" ht="13.5"/>
    <row r="195" s="237" customFormat="1" ht="13.5"/>
    <row r="196" s="237" customFormat="1" ht="13.5"/>
    <row r="197" s="237" customFormat="1" ht="13.5"/>
    <row r="198" s="237" customFormat="1" ht="13.5"/>
    <row r="199" s="237" customFormat="1" ht="13.5"/>
    <row r="200" s="237" customFormat="1" ht="13.5"/>
    <row r="201" s="237" customFormat="1" ht="13.5"/>
    <row r="202" s="237" customFormat="1" ht="13.5"/>
    <row r="203" s="237" customFormat="1" ht="13.5"/>
    <row r="204" s="237" customFormat="1" ht="13.5"/>
    <row r="205" s="237" customFormat="1" ht="13.5"/>
    <row r="206" s="237" customFormat="1" ht="13.5"/>
    <row r="207" s="237" customFormat="1" ht="13.5"/>
    <row r="208" s="237" customFormat="1" ht="13.5"/>
    <row r="209" s="237" customFormat="1" ht="13.5"/>
    <row r="210" s="237" customFormat="1" ht="13.5"/>
    <row r="211" s="237" customFormat="1" ht="13.5"/>
    <row r="212" s="237" customFormat="1" ht="13.5"/>
    <row r="213" s="237" customFormat="1" ht="13.5"/>
    <row r="214" s="237" customFormat="1" ht="13.5"/>
    <row r="215" s="237" customFormat="1" ht="13.5"/>
    <row r="216" s="237" customFormat="1" ht="13.5"/>
    <row r="217" s="237" customFormat="1" ht="13.5"/>
    <row r="218" s="237" customFormat="1" ht="13.5"/>
    <row r="219" s="237" customFormat="1" ht="13.5"/>
    <row r="220" s="237" customFormat="1" ht="13.5"/>
    <row r="221" s="237" customFormat="1" ht="13.5"/>
    <row r="222" s="237" customFormat="1" ht="13.5"/>
    <row r="223" s="237" customFormat="1" ht="13.5"/>
    <row r="224" s="237" customFormat="1" ht="13.5"/>
    <row r="225" s="237" customFormat="1" ht="13.5"/>
    <row r="226" s="237" customFormat="1" ht="13.5"/>
    <row r="227" s="237" customFormat="1" ht="13.5"/>
    <row r="228" s="237" customFormat="1" ht="13.5"/>
    <row r="229" s="237" customFormat="1" ht="13.5"/>
    <row r="230" s="237" customFormat="1" ht="13.5"/>
    <row r="231" s="237" customFormat="1" ht="13.5"/>
    <row r="232" s="237" customFormat="1" ht="13.5"/>
    <row r="233" s="237" customFormat="1" ht="13.5"/>
    <row r="234" s="237" customFormat="1" ht="13.5"/>
    <row r="235" s="237" customFormat="1" ht="13.5"/>
    <row r="236" s="237" customFormat="1" ht="13.5"/>
    <row r="237" s="237" customFormat="1" ht="13.5"/>
    <row r="238" s="237" customFormat="1" ht="13.5"/>
    <row r="239" s="237" customFormat="1" ht="13.5"/>
    <row r="240" s="237" customFormat="1" ht="13.5"/>
    <row r="241" s="237" customFormat="1" ht="13.5"/>
    <row r="242" s="237" customFormat="1" ht="13.5"/>
    <row r="243" s="237" customFormat="1" ht="13.5"/>
    <row r="244" s="237" customFormat="1" ht="13.5"/>
    <row r="245" s="237" customFormat="1" ht="13.5"/>
    <row r="246" s="237" customFormat="1" ht="13.5"/>
    <row r="247" s="33" customFormat="1" ht="12.75"/>
    <row r="248" s="33" customFormat="1" ht="12.75"/>
    <row r="249" s="33" customFormat="1" ht="12.75"/>
    <row r="250" s="33" customFormat="1" ht="12.75"/>
    <row r="251" s="33" customFormat="1" ht="12.75"/>
    <row r="252" s="33" customFormat="1" ht="12.75"/>
    <row r="253" s="33" customFormat="1" ht="12.75"/>
    <row r="254" s="33" customFormat="1" ht="12.75"/>
    <row r="255" s="33" customFormat="1" ht="12.75"/>
    <row r="256" s="33" customFormat="1" ht="12.75"/>
    <row r="257" s="33" customFormat="1" ht="12.75"/>
    <row r="258" s="33" customFormat="1" ht="12.75"/>
    <row r="259" s="33" customFormat="1" ht="12.75"/>
    <row r="260" s="33" customFormat="1" ht="12.75"/>
    <row r="261" s="33" customFormat="1" ht="12.75"/>
    <row r="262" s="33" customFormat="1" ht="12.75"/>
    <row r="263" s="33" customFormat="1" ht="12.75"/>
    <row r="264" s="28" customFormat="1"/>
    <row r="265" s="28" customFormat="1"/>
    <row r="266" s="28" customFormat="1"/>
    <row r="267" s="28" customFormat="1"/>
    <row r="268" s="28" customFormat="1"/>
    <row r="269" s="28" customFormat="1"/>
    <row r="270" s="28" customFormat="1"/>
    <row r="271" s="28" customFormat="1"/>
    <row r="272" s="28" customFormat="1"/>
    <row r="273" s="28" customFormat="1"/>
  </sheetData>
  <mergeCells count="14">
    <mergeCell ref="G33:N33"/>
    <mergeCell ref="K6:R6"/>
    <mergeCell ref="K8:R8"/>
    <mergeCell ref="C1:R1"/>
    <mergeCell ref="C2:R2"/>
    <mergeCell ref="C3:R3"/>
    <mergeCell ref="G16:I16"/>
    <mergeCell ref="C13:F14"/>
    <mergeCell ref="C15:F15"/>
    <mergeCell ref="G13:N14"/>
    <mergeCell ref="O13:O14"/>
    <mergeCell ref="R13:R14"/>
    <mergeCell ref="P13:P14"/>
    <mergeCell ref="G15:N15"/>
  </mergeCells>
  <printOptions horizontalCentered="1"/>
  <pageMargins left="1" right="0.5" top="1" bottom="0.5" header="0.28000000000000003" footer="0.31496062992126"/>
  <pageSetup paperSize="5" scale="9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W360"/>
  <sheetViews>
    <sheetView topLeftCell="A81" zoomScaleSheetLayoutView="100" workbookViewId="0">
      <selection activeCell="R85" sqref="R85"/>
    </sheetView>
  </sheetViews>
  <sheetFormatPr defaultRowHeight="15"/>
  <cols>
    <col min="1" max="1" width="0.140625" customWidth="1"/>
    <col min="2" max="2" width="0" hidden="1" customWidth="1"/>
    <col min="3" max="3" width="2.28515625" customWidth="1"/>
    <col min="4" max="6" width="2.7109375" customWidth="1"/>
    <col min="7" max="7" width="1.42578125" customWidth="1"/>
    <col min="8" max="8" width="23.140625" customWidth="1"/>
    <col min="9" max="9" width="1.5703125" hidden="1" customWidth="1"/>
    <col min="10" max="10" width="2.85546875" customWidth="1"/>
    <col min="11" max="11" width="4" customWidth="1"/>
    <col min="12" max="12" width="2.140625" customWidth="1"/>
    <col min="13" max="13" width="2.85546875" customWidth="1"/>
    <col min="14" max="14" width="4" customWidth="1"/>
    <col min="15" max="15" width="7.5703125" customWidth="1"/>
    <col min="16" max="16" width="7.140625" customWidth="1"/>
    <col min="17" max="18" width="13.5703125" customWidth="1"/>
    <col min="20" max="20" width="16.140625" style="21" bestFit="1" customWidth="1"/>
    <col min="21" max="21" width="14.28515625" bestFit="1" customWidth="1"/>
  </cols>
  <sheetData>
    <row r="1" spans="1:20" s="242" customFormat="1" ht="18.75">
      <c r="A1" s="367"/>
      <c r="B1" s="354"/>
      <c r="C1" s="854" t="s">
        <v>6</v>
      </c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5"/>
      <c r="T1" s="271"/>
    </row>
    <row r="2" spans="1:20" s="242" customFormat="1" ht="17.25">
      <c r="A2" s="283"/>
      <c r="B2" s="284"/>
      <c r="C2" s="857" t="s">
        <v>292</v>
      </c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8"/>
      <c r="T2" s="271"/>
    </row>
    <row r="3" spans="1:20" s="242" customFormat="1" ht="16.5">
      <c r="A3" s="283"/>
      <c r="B3" s="284"/>
      <c r="C3" s="860" t="s">
        <v>211</v>
      </c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1"/>
      <c r="T3" s="271"/>
    </row>
    <row r="4" spans="1:20" s="242" customFormat="1" ht="16.5">
      <c r="A4" s="283"/>
      <c r="B4" s="284"/>
      <c r="C4" s="284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94"/>
      <c r="T4" s="271"/>
    </row>
    <row r="5" spans="1:20" s="242" customFormat="1" ht="15" customHeight="1">
      <c r="A5" s="283"/>
      <c r="B5" s="284"/>
      <c r="C5" s="284" t="s">
        <v>7</v>
      </c>
      <c r="D5" s="295" t="s">
        <v>10</v>
      </c>
      <c r="E5" s="295"/>
      <c r="F5" s="295"/>
      <c r="G5" s="295"/>
      <c r="H5" s="295"/>
      <c r="I5" s="286"/>
      <c r="J5" s="286" t="s">
        <v>12</v>
      </c>
      <c r="K5" s="851" t="s">
        <v>28</v>
      </c>
      <c r="L5" s="851"/>
      <c r="M5" s="851"/>
      <c r="N5" s="851"/>
      <c r="O5" s="851"/>
      <c r="P5" s="851"/>
      <c r="Q5" s="851"/>
      <c r="R5" s="852"/>
      <c r="T5" s="271"/>
    </row>
    <row r="6" spans="1:20" s="242" customFormat="1" ht="15" customHeight="1">
      <c r="A6" s="283"/>
      <c r="B6" s="284"/>
      <c r="C6" s="284" t="s">
        <v>8</v>
      </c>
      <c r="D6" s="295" t="s">
        <v>11</v>
      </c>
      <c r="E6" s="295"/>
      <c r="F6" s="295"/>
      <c r="G6" s="295"/>
      <c r="H6" s="295"/>
      <c r="I6" s="286"/>
      <c r="J6" s="286" t="s">
        <v>12</v>
      </c>
      <c r="K6" s="295" t="s">
        <v>67</v>
      </c>
      <c r="L6" s="295"/>
      <c r="M6" s="295"/>
      <c r="N6" s="295"/>
      <c r="O6" s="295"/>
      <c r="P6" s="295"/>
      <c r="Q6" s="295"/>
      <c r="R6" s="296"/>
      <c r="T6" s="271"/>
    </row>
    <row r="7" spans="1:20" s="242" customFormat="1" ht="15" customHeight="1">
      <c r="A7" s="283"/>
      <c r="B7" s="284"/>
      <c r="C7" s="284" t="s">
        <v>9</v>
      </c>
      <c r="D7" s="295" t="s">
        <v>22</v>
      </c>
      <c r="E7" s="295"/>
      <c r="F7" s="295"/>
      <c r="G7" s="295"/>
      <c r="H7" s="295"/>
      <c r="I7" s="286"/>
      <c r="J7" s="286" t="s">
        <v>12</v>
      </c>
      <c r="K7" s="851" t="s">
        <v>76</v>
      </c>
      <c r="L7" s="851"/>
      <c r="M7" s="851"/>
      <c r="N7" s="851"/>
      <c r="O7" s="851"/>
      <c r="P7" s="851"/>
      <c r="Q7" s="851"/>
      <c r="R7" s="852"/>
      <c r="T7" s="271"/>
    </row>
    <row r="8" spans="1:20" s="242" customFormat="1" ht="15" customHeight="1">
      <c r="A8" s="283"/>
      <c r="B8" s="284"/>
      <c r="C8" s="368" t="s">
        <v>312</v>
      </c>
      <c r="D8" s="295" t="s">
        <v>216</v>
      </c>
      <c r="E8" s="295"/>
      <c r="F8" s="295"/>
      <c r="G8" s="295"/>
      <c r="H8" s="286"/>
      <c r="I8" s="286"/>
      <c r="J8" s="286" t="s">
        <v>12</v>
      </c>
      <c r="K8" s="655" t="s">
        <v>566</v>
      </c>
      <c r="L8" s="298"/>
      <c r="M8" s="298"/>
      <c r="N8" s="298"/>
      <c r="O8" s="298"/>
      <c r="P8" s="298"/>
      <c r="Q8" s="298"/>
      <c r="R8" s="299"/>
      <c r="T8" s="271"/>
    </row>
    <row r="9" spans="1:20" s="242" customFormat="1" ht="5.25" customHeight="1">
      <c r="A9" s="283"/>
      <c r="B9" s="284"/>
      <c r="C9" s="368"/>
      <c r="D9" s="295"/>
      <c r="E9" s="295"/>
      <c r="F9" s="295"/>
      <c r="G9" s="295"/>
      <c r="H9" s="286"/>
      <c r="I9" s="286"/>
      <c r="J9" s="286"/>
      <c r="K9" s="298"/>
      <c r="L9" s="298"/>
      <c r="M9" s="298"/>
      <c r="N9" s="298"/>
      <c r="O9" s="298"/>
      <c r="P9" s="298"/>
      <c r="Q9" s="298"/>
      <c r="R9" s="299"/>
      <c r="T9" s="271"/>
    </row>
    <row r="10" spans="1:20" s="242" customFormat="1" ht="16.5">
      <c r="A10" s="283"/>
      <c r="B10" s="284"/>
      <c r="C10" s="369" t="s">
        <v>221</v>
      </c>
      <c r="D10" s="295"/>
      <c r="E10" s="295"/>
      <c r="F10" s="295"/>
      <c r="G10" s="295"/>
      <c r="H10" s="286"/>
      <c r="I10" s="286"/>
      <c r="J10" s="286"/>
      <c r="K10" s="298"/>
      <c r="L10" s="298"/>
      <c r="M10" s="298"/>
      <c r="N10" s="298"/>
      <c r="O10" s="298"/>
      <c r="P10" s="298"/>
      <c r="Q10" s="298"/>
      <c r="R10" s="299"/>
      <c r="T10" s="271"/>
    </row>
    <row r="11" spans="1:20" s="242" customFormat="1" ht="4.5" customHeight="1">
      <c r="A11" s="283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5"/>
      <c r="T11" s="271"/>
    </row>
    <row r="12" spans="1:20" s="243" customFormat="1" ht="15.75" customHeight="1">
      <c r="A12" s="370"/>
      <c r="B12" s="371"/>
      <c r="C12" s="775" t="s">
        <v>0</v>
      </c>
      <c r="D12" s="776"/>
      <c r="E12" s="776"/>
      <c r="F12" s="777"/>
      <c r="G12" s="775" t="s">
        <v>1</v>
      </c>
      <c r="H12" s="776"/>
      <c r="I12" s="776"/>
      <c r="J12" s="776"/>
      <c r="K12" s="776"/>
      <c r="L12" s="776"/>
      <c r="M12" s="776"/>
      <c r="N12" s="777"/>
      <c r="O12" s="780" t="s">
        <v>2</v>
      </c>
      <c r="P12" s="780" t="s">
        <v>47</v>
      </c>
      <c r="Q12" s="290" t="s">
        <v>4</v>
      </c>
      <c r="R12" s="780" t="s">
        <v>3</v>
      </c>
      <c r="T12" s="304"/>
    </row>
    <row r="13" spans="1:20" s="243" customFormat="1" ht="12.75">
      <c r="A13" s="370"/>
      <c r="B13" s="371"/>
      <c r="C13" s="863"/>
      <c r="D13" s="778"/>
      <c r="E13" s="778"/>
      <c r="F13" s="779"/>
      <c r="G13" s="863"/>
      <c r="H13" s="778"/>
      <c r="I13" s="778"/>
      <c r="J13" s="778"/>
      <c r="K13" s="778"/>
      <c r="L13" s="778"/>
      <c r="M13" s="778"/>
      <c r="N13" s="779"/>
      <c r="O13" s="781"/>
      <c r="P13" s="781"/>
      <c r="Q13" s="291" t="s">
        <v>5</v>
      </c>
      <c r="R13" s="781"/>
      <c r="T13" s="304"/>
    </row>
    <row r="14" spans="1:20" s="237" customFormat="1" ht="13.5">
      <c r="A14" s="245"/>
      <c r="B14" s="246"/>
      <c r="C14" s="864">
        <v>1</v>
      </c>
      <c r="D14" s="865"/>
      <c r="E14" s="865"/>
      <c r="F14" s="866"/>
      <c r="G14" s="238"/>
      <c r="H14" s="240">
        <v>2</v>
      </c>
      <c r="I14" s="240"/>
      <c r="J14" s="240"/>
      <c r="K14" s="240"/>
      <c r="L14" s="240"/>
      <c r="M14" s="240"/>
      <c r="N14" s="241"/>
      <c r="O14" s="239">
        <v>3</v>
      </c>
      <c r="P14" s="239"/>
      <c r="Q14" s="239">
        <v>4</v>
      </c>
      <c r="R14" s="239">
        <v>5</v>
      </c>
      <c r="T14" s="244"/>
    </row>
    <row r="15" spans="1:20" s="242" customFormat="1" ht="15" customHeight="1">
      <c r="A15" s="372"/>
      <c r="B15" s="305"/>
      <c r="C15" s="306">
        <v>2</v>
      </c>
      <c r="D15" s="307">
        <v>1</v>
      </c>
      <c r="E15" s="307">
        <v>2</v>
      </c>
      <c r="F15" s="307">
        <v>2</v>
      </c>
      <c r="G15" s="862" t="s">
        <v>29</v>
      </c>
      <c r="H15" s="862"/>
      <c r="I15" s="862"/>
      <c r="J15" s="254"/>
      <c r="K15" s="254"/>
      <c r="L15" s="254"/>
      <c r="M15" s="254"/>
      <c r="N15" s="255"/>
      <c r="O15" s="256"/>
      <c r="P15" s="256"/>
      <c r="Q15" s="256"/>
      <c r="R15" s="308">
        <f>SUM(R16+R30+R34+R38+R42+R60+R72+R75)</f>
        <v>72002500</v>
      </c>
      <c r="T15" s="271"/>
    </row>
    <row r="16" spans="1:20" s="242" customFormat="1" ht="15" customHeight="1">
      <c r="A16" s="373"/>
      <c r="B16" s="309"/>
      <c r="C16" s="257"/>
      <c r="D16" s="258"/>
      <c r="E16" s="258"/>
      <c r="F16" s="258"/>
      <c r="G16" s="259" t="s">
        <v>14</v>
      </c>
      <c r="H16" s="310" t="s">
        <v>30</v>
      </c>
      <c r="I16" s="260"/>
      <c r="J16" s="260"/>
      <c r="K16" s="260"/>
      <c r="L16" s="260"/>
      <c r="M16" s="260"/>
      <c r="N16" s="262"/>
      <c r="O16" s="263"/>
      <c r="P16" s="263"/>
      <c r="Q16" s="263"/>
      <c r="R16" s="264">
        <f>SUM(R17:R28)</f>
        <v>2307500</v>
      </c>
      <c r="T16" s="681">
        <f>R16/2</f>
        <v>1153750</v>
      </c>
    </row>
    <row r="17" spans="1:23" s="242" customFormat="1" ht="15" customHeight="1">
      <c r="A17" s="373"/>
      <c r="B17" s="309"/>
      <c r="C17" s="257"/>
      <c r="D17" s="258"/>
      <c r="E17" s="258"/>
      <c r="F17" s="258"/>
      <c r="G17" s="265"/>
      <c r="H17" s="260" t="s">
        <v>31</v>
      </c>
      <c r="I17" s="260"/>
      <c r="J17" s="265"/>
      <c r="K17" s="265"/>
      <c r="L17" s="265"/>
      <c r="M17" s="265"/>
      <c r="N17" s="266"/>
      <c r="O17" s="258">
        <v>15</v>
      </c>
      <c r="P17" s="258" t="s">
        <v>191</v>
      </c>
      <c r="Q17" s="267">
        <v>49000</v>
      </c>
      <c r="R17" s="267">
        <f>SUM(O17*Q17)</f>
        <v>735000</v>
      </c>
      <c r="T17" s="271"/>
    </row>
    <row r="18" spans="1:23" s="242" customFormat="1" ht="15" customHeight="1">
      <c r="A18" s="373"/>
      <c r="B18" s="309"/>
      <c r="C18" s="257"/>
      <c r="D18" s="258"/>
      <c r="E18" s="258"/>
      <c r="F18" s="258"/>
      <c r="G18" s="265"/>
      <c r="H18" s="260" t="s">
        <v>460</v>
      </c>
      <c r="I18" s="260"/>
      <c r="J18" s="265"/>
      <c r="K18" s="265"/>
      <c r="L18" s="265"/>
      <c r="M18" s="265"/>
      <c r="N18" s="266"/>
      <c r="O18" s="258">
        <v>5</v>
      </c>
      <c r="P18" s="258" t="s">
        <v>176</v>
      </c>
      <c r="Q18" s="267">
        <v>10000</v>
      </c>
      <c r="R18" s="267">
        <f>O18*Q18</f>
        <v>50000</v>
      </c>
      <c r="T18" s="271"/>
    </row>
    <row r="19" spans="1:23" s="242" customFormat="1" ht="15" customHeight="1">
      <c r="A19" s="373"/>
      <c r="B19" s="309"/>
      <c r="C19" s="257"/>
      <c r="D19" s="258"/>
      <c r="E19" s="258"/>
      <c r="F19" s="258"/>
      <c r="G19" s="265"/>
      <c r="H19" s="260" t="s">
        <v>32</v>
      </c>
      <c r="I19" s="260"/>
      <c r="J19" s="265"/>
      <c r="K19" s="265"/>
      <c r="L19" s="265"/>
      <c r="M19" s="265"/>
      <c r="N19" s="266"/>
      <c r="O19" s="258">
        <v>9</v>
      </c>
      <c r="P19" s="258" t="s">
        <v>53</v>
      </c>
      <c r="Q19" s="267">
        <v>15000</v>
      </c>
      <c r="R19" s="267">
        <f t="shared" ref="R19:R28" si="0">SUM(O19*Q19)</f>
        <v>135000</v>
      </c>
      <c r="T19" s="271"/>
      <c r="U19" s="311">
        <f>Q24+273</f>
        <v>27773</v>
      </c>
    </row>
    <row r="20" spans="1:23" s="242" customFormat="1" ht="15" customHeight="1">
      <c r="A20" s="373"/>
      <c r="B20" s="309"/>
      <c r="C20" s="257"/>
      <c r="D20" s="258"/>
      <c r="E20" s="258"/>
      <c r="F20" s="258"/>
      <c r="G20" s="265"/>
      <c r="H20" s="260" t="s">
        <v>462</v>
      </c>
      <c r="I20" s="260"/>
      <c r="J20" s="265"/>
      <c r="K20" s="265"/>
      <c r="L20" s="265"/>
      <c r="M20" s="265"/>
      <c r="N20" s="266"/>
      <c r="O20" s="258">
        <v>15</v>
      </c>
      <c r="P20" s="258" t="s">
        <v>55</v>
      </c>
      <c r="Q20" s="267">
        <v>25000</v>
      </c>
      <c r="R20" s="267">
        <f t="shared" ref="R20:R21" si="1">SUM(O20*Q20)</f>
        <v>375000</v>
      </c>
      <c r="T20" s="271"/>
      <c r="U20" s="311"/>
    </row>
    <row r="21" spans="1:23" s="242" customFormat="1" ht="15" customHeight="1">
      <c r="A21" s="373"/>
      <c r="B21" s="309"/>
      <c r="C21" s="257"/>
      <c r="D21" s="258"/>
      <c r="E21" s="258"/>
      <c r="F21" s="258"/>
      <c r="G21" s="265"/>
      <c r="H21" s="260" t="s">
        <v>461</v>
      </c>
      <c r="I21" s="260"/>
      <c r="J21" s="265"/>
      <c r="K21" s="265"/>
      <c r="L21" s="265"/>
      <c r="M21" s="265"/>
      <c r="N21" s="266"/>
      <c r="O21" s="258">
        <v>20</v>
      </c>
      <c r="P21" s="258" t="s">
        <v>176</v>
      </c>
      <c r="Q21" s="267">
        <v>7500</v>
      </c>
      <c r="R21" s="267">
        <f t="shared" si="1"/>
        <v>150000</v>
      </c>
      <c r="T21" s="271"/>
      <c r="U21" s="311"/>
    </row>
    <row r="22" spans="1:23" s="242" customFormat="1" ht="15" customHeight="1">
      <c r="A22" s="373"/>
      <c r="B22" s="309"/>
      <c r="C22" s="257"/>
      <c r="D22" s="258"/>
      <c r="E22" s="258"/>
      <c r="F22" s="258"/>
      <c r="G22" s="265"/>
      <c r="H22" s="260" t="s">
        <v>463</v>
      </c>
      <c r="I22" s="260"/>
      <c r="J22" s="260"/>
      <c r="K22" s="260"/>
      <c r="L22" s="260"/>
      <c r="M22" s="260"/>
      <c r="N22" s="262"/>
      <c r="O22" s="258">
        <v>6</v>
      </c>
      <c r="P22" s="258" t="s">
        <v>35</v>
      </c>
      <c r="Q22" s="267">
        <v>22500</v>
      </c>
      <c r="R22" s="267">
        <f t="shared" si="0"/>
        <v>135000</v>
      </c>
      <c r="T22" s="271"/>
    </row>
    <row r="23" spans="1:23" s="242" customFormat="1" ht="15" customHeight="1">
      <c r="A23" s="373"/>
      <c r="B23" s="309"/>
      <c r="C23" s="257"/>
      <c r="D23" s="258"/>
      <c r="E23" s="258"/>
      <c r="F23" s="258"/>
      <c r="G23" s="265"/>
      <c r="H23" s="260" t="s">
        <v>464</v>
      </c>
      <c r="I23" s="260"/>
      <c r="J23" s="260"/>
      <c r="K23" s="260"/>
      <c r="L23" s="260"/>
      <c r="M23" s="260"/>
      <c r="N23" s="262"/>
      <c r="O23" s="258">
        <v>5</v>
      </c>
      <c r="P23" s="258" t="s">
        <v>176</v>
      </c>
      <c r="Q23" s="267">
        <v>12500</v>
      </c>
      <c r="R23" s="267">
        <f t="shared" si="0"/>
        <v>62500</v>
      </c>
      <c r="T23" s="514"/>
    </row>
    <row r="24" spans="1:23" s="242" customFormat="1" ht="15" customHeight="1">
      <c r="A24" s="373"/>
      <c r="B24" s="309"/>
      <c r="C24" s="257"/>
      <c r="D24" s="258"/>
      <c r="E24" s="258"/>
      <c r="F24" s="258"/>
      <c r="G24" s="265"/>
      <c r="H24" s="260" t="s">
        <v>465</v>
      </c>
      <c r="I24" s="260"/>
      <c r="J24" s="260"/>
      <c r="K24" s="260"/>
      <c r="L24" s="260"/>
      <c r="M24" s="260"/>
      <c r="N24" s="262"/>
      <c r="O24" s="258">
        <v>2</v>
      </c>
      <c r="P24" s="258" t="s">
        <v>53</v>
      </c>
      <c r="Q24" s="267">
        <v>27500</v>
      </c>
      <c r="R24" s="267">
        <f t="shared" si="0"/>
        <v>55000</v>
      </c>
      <c r="T24" s="271"/>
      <c r="U24" s="311">
        <f>Q24-8364</f>
        <v>19136</v>
      </c>
    </row>
    <row r="25" spans="1:23" s="242" customFormat="1" ht="15" customHeight="1">
      <c r="A25" s="373"/>
      <c r="B25" s="309"/>
      <c r="C25" s="257"/>
      <c r="D25" s="258"/>
      <c r="E25" s="258"/>
      <c r="F25" s="258"/>
      <c r="G25" s="265"/>
      <c r="H25" s="260" t="s">
        <v>466</v>
      </c>
      <c r="I25" s="260"/>
      <c r="J25" s="260"/>
      <c r="K25" s="260"/>
      <c r="L25" s="260"/>
      <c r="M25" s="260"/>
      <c r="N25" s="262"/>
      <c r="O25" s="258">
        <v>1</v>
      </c>
      <c r="P25" s="258" t="s">
        <v>176</v>
      </c>
      <c r="Q25" s="267">
        <v>40000</v>
      </c>
      <c r="R25" s="267">
        <f t="shared" si="0"/>
        <v>40000</v>
      </c>
      <c r="T25" s="271"/>
      <c r="U25" s="311"/>
    </row>
    <row r="26" spans="1:23" s="242" customFormat="1" ht="15" customHeight="1">
      <c r="A26" s="373"/>
      <c r="B26" s="309"/>
      <c r="C26" s="257"/>
      <c r="D26" s="258"/>
      <c r="E26" s="258"/>
      <c r="F26" s="258"/>
      <c r="G26" s="265"/>
      <c r="H26" s="260" t="s">
        <v>467</v>
      </c>
      <c r="I26" s="260"/>
      <c r="J26" s="260"/>
      <c r="K26" s="260"/>
      <c r="L26" s="260"/>
      <c r="M26" s="260"/>
      <c r="N26" s="262"/>
      <c r="O26" s="258">
        <v>10</v>
      </c>
      <c r="P26" s="258" t="s">
        <v>176</v>
      </c>
      <c r="Q26" s="267">
        <v>12000</v>
      </c>
      <c r="R26" s="267">
        <f t="shared" si="0"/>
        <v>120000</v>
      </c>
      <c r="T26" s="271"/>
      <c r="U26" s="311"/>
    </row>
    <row r="27" spans="1:23" s="242" customFormat="1" ht="15" customHeight="1">
      <c r="A27" s="373"/>
      <c r="B27" s="309"/>
      <c r="C27" s="257"/>
      <c r="D27" s="258"/>
      <c r="E27" s="258"/>
      <c r="F27" s="258"/>
      <c r="G27" s="259"/>
      <c r="H27" s="260" t="s">
        <v>293</v>
      </c>
      <c r="I27" s="260"/>
      <c r="J27" s="260"/>
      <c r="K27" s="260"/>
      <c r="L27" s="260"/>
      <c r="M27" s="260"/>
      <c r="N27" s="262"/>
      <c r="O27" s="258">
        <v>6</v>
      </c>
      <c r="P27" s="258" t="s">
        <v>192</v>
      </c>
      <c r="Q27" s="267">
        <v>37500</v>
      </c>
      <c r="R27" s="267">
        <f t="shared" si="0"/>
        <v>225000</v>
      </c>
      <c r="T27" s="271"/>
      <c r="W27" s="242">
        <f>4000/250</f>
        <v>16</v>
      </c>
    </row>
    <row r="28" spans="1:23" s="242" customFormat="1" ht="15" customHeight="1">
      <c r="A28" s="373"/>
      <c r="B28" s="309"/>
      <c r="C28" s="257"/>
      <c r="D28" s="258"/>
      <c r="E28" s="258"/>
      <c r="F28" s="258"/>
      <c r="G28" s="259"/>
      <c r="H28" s="260" t="s">
        <v>294</v>
      </c>
      <c r="I28" s="260"/>
      <c r="J28" s="260"/>
      <c r="K28" s="260"/>
      <c r="L28" s="265"/>
      <c r="M28" s="265"/>
      <c r="N28" s="266"/>
      <c r="O28" s="258">
        <v>6</v>
      </c>
      <c r="P28" s="258" t="s">
        <v>192</v>
      </c>
      <c r="Q28" s="267">
        <v>37500</v>
      </c>
      <c r="R28" s="270">
        <f t="shared" si="0"/>
        <v>225000</v>
      </c>
      <c r="T28" s="271"/>
    </row>
    <row r="29" spans="1:23" s="242" customFormat="1" ht="9" customHeight="1">
      <c r="A29" s="373"/>
      <c r="B29" s="309"/>
      <c r="C29" s="257"/>
      <c r="D29" s="258"/>
      <c r="E29" s="258"/>
      <c r="F29" s="258"/>
      <c r="G29" s="259"/>
      <c r="H29" s="260"/>
      <c r="I29" s="260"/>
      <c r="J29" s="260"/>
      <c r="K29" s="260"/>
      <c r="L29" s="265"/>
      <c r="M29" s="265"/>
      <c r="N29" s="266"/>
      <c r="O29" s="258"/>
      <c r="P29" s="258"/>
      <c r="Q29" s="267"/>
      <c r="R29" s="270"/>
      <c r="T29" s="271"/>
    </row>
    <row r="30" spans="1:23" s="242" customFormat="1" ht="15" customHeight="1">
      <c r="A30" s="373"/>
      <c r="B30" s="309"/>
      <c r="C30" s="257"/>
      <c r="D30" s="258"/>
      <c r="E30" s="258"/>
      <c r="F30" s="258"/>
      <c r="G30" s="259" t="s">
        <v>14</v>
      </c>
      <c r="H30" s="261" t="s">
        <v>195</v>
      </c>
      <c r="I30" s="260"/>
      <c r="J30" s="260"/>
      <c r="K30" s="260"/>
      <c r="L30" s="265"/>
      <c r="M30" s="265"/>
      <c r="N30" s="266"/>
      <c r="O30" s="258"/>
      <c r="P30" s="258"/>
      <c r="Q30" s="267"/>
      <c r="R30" s="264">
        <f>SUM(R31:R32)</f>
        <v>1125000</v>
      </c>
      <c r="T30" s="681">
        <f>R30/2</f>
        <v>562500</v>
      </c>
    </row>
    <row r="31" spans="1:23" s="242" customFormat="1" ht="15" customHeight="1">
      <c r="A31" s="373"/>
      <c r="B31" s="309"/>
      <c r="C31" s="257"/>
      <c r="D31" s="258"/>
      <c r="E31" s="258"/>
      <c r="F31" s="258"/>
      <c r="G31" s="259"/>
      <c r="H31" s="260" t="s">
        <v>197</v>
      </c>
      <c r="I31" s="260"/>
      <c r="J31" s="260"/>
      <c r="K31" s="260"/>
      <c r="L31" s="265"/>
      <c r="M31" s="265"/>
      <c r="N31" s="266"/>
      <c r="O31" s="258">
        <v>3500</v>
      </c>
      <c r="P31" s="258" t="s">
        <v>38</v>
      </c>
      <c r="Q31" s="267">
        <v>300</v>
      </c>
      <c r="R31" s="270">
        <f>SUM(O31*Q31)</f>
        <v>1050000</v>
      </c>
      <c r="T31" s="271"/>
      <c r="W31" s="242">
        <f>O31+W27</f>
        <v>3516</v>
      </c>
    </row>
    <row r="32" spans="1:23" s="242" customFormat="1" ht="15" customHeight="1">
      <c r="A32" s="373"/>
      <c r="B32" s="309"/>
      <c r="C32" s="257"/>
      <c r="D32" s="258"/>
      <c r="E32" s="258"/>
      <c r="F32" s="258"/>
      <c r="G32" s="259"/>
      <c r="H32" s="260" t="s">
        <v>196</v>
      </c>
      <c r="I32" s="260"/>
      <c r="J32" s="260"/>
      <c r="K32" s="260"/>
      <c r="L32" s="265"/>
      <c r="M32" s="265"/>
      <c r="N32" s="266"/>
      <c r="O32" s="258">
        <v>15</v>
      </c>
      <c r="P32" s="258" t="s">
        <v>176</v>
      </c>
      <c r="Q32" s="267">
        <v>5000</v>
      </c>
      <c r="R32" s="270">
        <f>SUM(O32*Q32)</f>
        <v>75000</v>
      </c>
      <c r="T32" s="271"/>
    </row>
    <row r="33" spans="1:20" s="242" customFormat="1" ht="9" customHeight="1">
      <c r="A33" s="373"/>
      <c r="B33" s="309"/>
      <c r="C33" s="257"/>
      <c r="D33" s="258"/>
      <c r="E33" s="258"/>
      <c r="F33" s="258"/>
      <c r="G33" s="259"/>
      <c r="H33" s="260"/>
      <c r="I33" s="260"/>
      <c r="J33" s="260"/>
      <c r="K33" s="260"/>
      <c r="L33" s="265"/>
      <c r="M33" s="265"/>
      <c r="N33" s="266"/>
      <c r="O33" s="258"/>
      <c r="P33" s="258"/>
      <c r="Q33" s="267"/>
      <c r="R33" s="270"/>
      <c r="T33" s="271"/>
    </row>
    <row r="34" spans="1:20" s="242" customFormat="1" ht="15" customHeight="1">
      <c r="A34" s="373"/>
      <c r="B34" s="309"/>
      <c r="C34" s="257"/>
      <c r="D34" s="258"/>
      <c r="E34" s="258"/>
      <c r="F34" s="258"/>
      <c r="G34" s="259" t="s">
        <v>14</v>
      </c>
      <c r="H34" s="261" t="s">
        <v>495</v>
      </c>
      <c r="I34" s="260"/>
      <c r="J34" s="260"/>
      <c r="K34" s="260"/>
      <c r="L34" s="265"/>
      <c r="M34" s="265"/>
      <c r="N34" s="266"/>
      <c r="O34" s="258"/>
      <c r="P34" s="258"/>
      <c r="Q34" s="267"/>
      <c r="R34" s="264">
        <f>SUM(R35:R36)</f>
        <v>405000</v>
      </c>
      <c r="T34" s="681">
        <f>R34/2</f>
        <v>202500</v>
      </c>
    </row>
    <row r="35" spans="1:20" s="242" customFormat="1" ht="15" customHeight="1">
      <c r="A35" s="373"/>
      <c r="B35" s="309"/>
      <c r="C35" s="257"/>
      <c r="D35" s="258"/>
      <c r="E35" s="258"/>
      <c r="F35" s="258"/>
      <c r="G35" s="265"/>
      <c r="H35" s="260" t="s">
        <v>36</v>
      </c>
      <c r="I35" s="260"/>
      <c r="J35" s="260"/>
      <c r="K35" s="260"/>
      <c r="L35" s="265"/>
      <c r="M35" s="265"/>
      <c r="N35" s="266"/>
      <c r="O35" s="258">
        <v>45</v>
      </c>
      <c r="P35" s="258" t="s">
        <v>38</v>
      </c>
      <c r="Q35" s="267">
        <v>6000</v>
      </c>
      <c r="R35" s="270">
        <f>SUM(O35*Q35)</f>
        <v>270000</v>
      </c>
      <c r="T35" s="271"/>
    </row>
    <row r="36" spans="1:20" s="242" customFormat="1" ht="15" customHeight="1">
      <c r="A36" s="373"/>
      <c r="B36" s="309"/>
      <c r="C36" s="257"/>
      <c r="D36" s="258"/>
      <c r="E36" s="258"/>
      <c r="F36" s="258"/>
      <c r="G36" s="265"/>
      <c r="H36" s="260" t="s">
        <v>37</v>
      </c>
      <c r="I36" s="260"/>
      <c r="J36" s="260"/>
      <c r="K36" s="260"/>
      <c r="L36" s="265"/>
      <c r="M36" s="265"/>
      <c r="N36" s="266"/>
      <c r="O36" s="258">
        <v>45</v>
      </c>
      <c r="P36" s="258" t="s">
        <v>38</v>
      </c>
      <c r="Q36" s="267">
        <v>3000</v>
      </c>
      <c r="R36" s="270">
        <f>SUM(O36*Q36)</f>
        <v>135000</v>
      </c>
      <c r="T36" s="271"/>
    </row>
    <row r="37" spans="1:20" s="242" customFormat="1" ht="8.25" customHeight="1">
      <c r="A37" s="373"/>
      <c r="B37" s="309"/>
      <c r="C37" s="257"/>
      <c r="D37" s="258"/>
      <c r="E37" s="258"/>
      <c r="F37" s="258"/>
      <c r="G37" s="265"/>
      <c r="H37" s="310"/>
      <c r="I37" s="312"/>
      <c r="J37" s="312"/>
      <c r="K37" s="312"/>
      <c r="L37" s="312"/>
      <c r="M37" s="312"/>
      <c r="N37" s="313"/>
      <c r="O37" s="314"/>
      <c r="P37" s="314"/>
      <c r="Q37" s="314"/>
      <c r="R37" s="314"/>
      <c r="T37" s="271"/>
    </row>
    <row r="38" spans="1:20" s="242" customFormat="1" ht="15" customHeight="1">
      <c r="A38" s="373"/>
      <c r="B38" s="309"/>
      <c r="C38" s="257"/>
      <c r="D38" s="258"/>
      <c r="E38" s="258"/>
      <c r="F38" s="258"/>
      <c r="G38" s="259" t="s">
        <v>14</v>
      </c>
      <c r="H38" s="310" t="s">
        <v>260</v>
      </c>
      <c r="I38" s="312"/>
      <c r="J38" s="312"/>
      <c r="K38" s="312"/>
      <c r="L38" s="312"/>
      <c r="M38" s="312"/>
      <c r="N38" s="313"/>
      <c r="O38" s="312"/>
      <c r="P38" s="314"/>
      <c r="Q38" s="314"/>
      <c r="R38" s="315">
        <f>SUM(R39:R40)</f>
        <v>2450000</v>
      </c>
      <c r="T38" s="681">
        <f>R38</f>
        <v>2450000</v>
      </c>
    </row>
    <row r="39" spans="1:20" s="242" customFormat="1" ht="15" customHeight="1">
      <c r="A39" s="373"/>
      <c r="B39" s="309"/>
      <c r="C39" s="257"/>
      <c r="D39" s="258"/>
      <c r="E39" s="258"/>
      <c r="F39" s="258"/>
      <c r="G39" s="259"/>
      <c r="H39" s="316" t="s">
        <v>261</v>
      </c>
      <c r="I39" s="265"/>
      <c r="J39" s="265">
        <v>35</v>
      </c>
      <c r="K39" s="265" t="s">
        <v>17</v>
      </c>
      <c r="L39" s="265" t="s">
        <v>20</v>
      </c>
      <c r="M39" s="265">
        <v>2</v>
      </c>
      <c r="N39" s="266" t="s">
        <v>212</v>
      </c>
      <c r="O39" s="265">
        <f>J39*M39</f>
        <v>70</v>
      </c>
      <c r="P39" s="258" t="s">
        <v>53</v>
      </c>
      <c r="Q39" s="317">
        <v>25000</v>
      </c>
      <c r="R39" s="270">
        <f t="shared" ref="R39:R40" si="2">SUM(O39*Q39)</f>
        <v>1750000</v>
      </c>
      <c r="T39" s="271"/>
    </row>
    <row r="40" spans="1:20" s="242" customFormat="1" ht="15" customHeight="1">
      <c r="A40" s="373"/>
      <c r="B40" s="309"/>
      <c r="C40" s="257"/>
      <c r="D40" s="258"/>
      <c r="E40" s="258"/>
      <c r="F40" s="258"/>
      <c r="G40" s="265"/>
      <c r="H40" s="316" t="s">
        <v>262</v>
      </c>
      <c r="I40" s="265"/>
      <c r="J40" s="265">
        <v>35</v>
      </c>
      <c r="K40" s="265" t="s">
        <v>17</v>
      </c>
      <c r="L40" s="265" t="s">
        <v>20</v>
      </c>
      <c r="M40" s="265">
        <v>2</v>
      </c>
      <c r="N40" s="266" t="s">
        <v>212</v>
      </c>
      <c r="O40" s="265">
        <f>J40*M40</f>
        <v>70</v>
      </c>
      <c r="P40" s="258" t="s">
        <v>53</v>
      </c>
      <c r="Q40" s="317">
        <v>10000</v>
      </c>
      <c r="R40" s="270">
        <f t="shared" si="2"/>
        <v>700000</v>
      </c>
      <c r="T40" s="271"/>
    </row>
    <row r="41" spans="1:20" s="242" customFormat="1" ht="14.25" customHeight="1">
      <c r="A41" s="373"/>
      <c r="B41" s="309"/>
      <c r="C41" s="257"/>
      <c r="D41" s="258"/>
      <c r="E41" s="258"/>
      <c r="F41" s="258"/>
      <c r="G41" s="265"/>
      <c r="H41" s="310"/>
      <c r="I41" s="312"/>
      <c r="J41" s="312"/>
      <c r="K41" s="312"/>
      <c r="L41" s="312"/>
      <c r="M41" s="312"/>
      <c r="N41" s="313"/>
      <c r="O41" s="312"/>
      <c r="P41" s="314"/>
      <c r="Q41" s="314"/>
      <c r="R41" s="314"/>
      <c r="T41" s="271"/>
    </row>
    <row r="42" spans="1:20" s="242" customFormat="1" ht="15" customHeight="1">
      <c r="A42" s="373"/>
      <c r="B42" s="309"/>
      <c r="C42" s="257"/>
      <c r="D42" s="258"/>
      <c r="E42" s="258"/>
      <c r="F42" s="258"/>
      <c r="G42" s="269" t="s">
        <v>14</v>
      </c>
      <c r="H42" s="261" t="s">
        <v>40</v>
      </c>
      <c r="I42" s="260"/>
      <c r="J42" s="265"/>
      <c r="K42" s="265"/>
      <c r="L42" s="265"/>
      <c r="M42" s="265"/>
      <c r="N42" s="266"/>
      <c r="O42" s="265"/>
      <c r="P42" s="258"/>
      <c r="Q42" s="267"/>
      <c r="R42" s="264">
        <f>R44+R48+R52+R56</f>
        <v>35655000</v>
      </c>
      <c r="T42" s="271"/>
    </row>
    <row r="43" spans="1:20" s="242" customFormat="1" ht="6.75" customHeight="1">
      <c r="A43" s="373"/>
      <c r="B43" s="309"/>
      <c r="C43" s="257"/>
      <c r="D43" s="258"/>
      <c r="E43" s="258"/>
      <c r="F43" s="258"/>
      <c r="G43" s="259"/>
      <c r="H43" s="260"/>
      <c r="I43" s="260"/>
      <c r="J43" s="260"/>
      <c r="K43" s="260"/>
      <c r="L43" s="260"/>
      <c r="M43" s="260"/>
      <c r="N43" s="262"/>
      <c r="O43" s="258"/>
      <c r="P43" s="258"/>
      <c r="Q43" s="267"/>
      <c r="R43" s="267"/>
      <c r="T43" s="271"/>
    </row>
    <row r="44" spans="1:20" s="242" customFormat="1" ht="15" customHeight="1">
      <c r="A44" s="373"/>
      <c r="B44" s="309"/>
      <c r="C44" s="257"/>
      <c r="D44" s="258"/>
      <c r="E44" s="258"/>
      <c r="F44" s="258"/>
      <c r="G44" s="259"/>
      <c r="H44" s="261" t="s">
        <v>468</v>
      </c>
      <c r="I44" s="260"/>
      <c r="J44" s="260"/>
      <c r="K44" s="260"/>
      <c r="L44" s="265"/>
      <c r="M44" s="265"/>
      <c r="N44" s="266"/>
      <c r="O44" s="258"/>
      <c r="P44" s="258"/>
      <c r="Q44" s="267"/>
      <c r="R44" s="267">
        <f>SUM(R45:R46)</f>
        <v>325000</v>
      </c>
      <c r="T44" s="271"/>
    </row>
    <row r="45" spans="1:20" s="242" customFormat="1" ht="15" customHeight="1">
      <c r="A45" s="373"/>
      <c r="B45" s="309"/>
      <c r="C45" s="257"/>
      <c r="D45" s="258"/>
      <c r="E45" s="258"/>
      <c r="F45" s="258"/>
      <c r="G45" s="259"/>
      <c r="H45" s="260" t="s">
        <v>41</v>
      </c>
      <c r="I45" s="260"/>
      <c r="J45" s="265">
        <v>1</v>
      </c>
      <c r="K45" s="265" t="s">
        <v>17</v>
      </c>
      <c r="L45" s="265" t="s">
        <v>20</v>
      </c>
      <c r="M45" s="265">
        <v>5</v>
      </c>
      <c r="N45" s="266" t="s">
        <v>212</v>
      </c>
      <c r="O45" s="265">
        <f>SUM(J45*M45)</f>
        <v>5</v>
      </c>
      <c r="P45" s="258" t="s">
        <v>43</v>
      </c>
      <c r="Q45" s="267">
        <v>35000</v>
      </c>
      <c r="R45" s="267">
        <f>O45*Q45</f>
        <v>175000</v>
      </c>
      <c r="T45" s="271"/>
    </row>
    <row r="46" spans="1:20" s="242" customFormat="1" ht="15" customHeight="1">
      <c r="A46" s="373"/>
      <c r="B46" s="309"/>
      <c r="C46" s="257"/>
      <c r="D46" s="258"/>
      <c r="E46" s="258"/>
      <c r="F46" s="258"/>
      <c r="G46" s="259"/>
      <c r="H46" s="260" t="s">
        <v>42</v>
      </c>
      <c r="I46" s="260"/>
      <c r="J46" s="265">
        <v>1</v>
      </c>
      <c r="K46" s="265" t="s">
        <v>17</v>
      </c>
      <c r="L46" s="265" t="s">
        <v>20</v>
      </c>
      <c r="M46" s="265">
        <v>5</v>
      </c>
      <c r="N46" s="266" t="s">
        <v>212</v>
      </c>
      <c r="O46" s="265">
        <f>J46*M46</f>
        <v>5</v>
      </c>
      <c r="P46" s="258" t="s">
        <v>213</v>
      </c>
      <c r="Q46" s="267">
        <v>30000</v>
      </c>
      <c r="R46" s="267">
        <f>O46*Q46</f>
        <v>150000</v>
      </c>
      <c r="T46" s="271"/>
    </row>
    <row r="47" spans="1:20" s="242" customFormat="1" ht="15" customHeight="1">
      <c r="A47" s="373"/>
      <c r="B47" s="309"/>
      <c r="C47" s="257"/>
      <c r="D47" s="258"/>
      <c r="E47" s="258"/>
      <c r="F47" s="258"/>
      <c r="G47" s="259"/>
      <c r="H47" s="260"/>
      <c r="I47" s="260"/>
      <c r="J47" s="260"/>
      <c r="K47" s="260"/>
      <c r="L47" s="260"/>
      <c r="M47" s="260"/>
      <c r="N47" s="262"/>
      <c r="O47" s="258"/>
      <c r="P47" s="258"/>
      <c r="Q47" s="267"/>
      <c r="R47" s="267"/>
      <c r="T47" s="271"/>
    </row>
    <row r="48" spans="1:20" s="242" customFormat="1" ht="15" customHeight="1">
      <c r="A48" s="373"/>
      <c r="B48" s="309"/>
      <c r="C48" s="257"/>
      <c r="D48" s="258"/>
      <c r="E48" s="258"/>
      <c r="F48" s="258"/>
      <c r="G48" s="259"/>
      <c r="H48" s="261" t="s">
        <v>469</v>
      </c>
      <c r="I48" s="260"/>
      <c r="J48" s="260"/>
      <c r="K48" s="260"/>
      <c r="L48" s="265"/>
      <c r="M48" s="265"/>
      <c r="N48" s="266"/>
      <c r="O48" s="258"/>
      <c r="P48" s="258"/>
      <c r="Q48" s="267"/>
      <c r="R48" s="267">
        <f>SUM(R49:R50)</f>
        <v>1200000</v>
      </c>
      <c r="T48" s="681">
        <f>R48</f>
        <v>1200000</v>
      </c>
    </row>
    <row r="49" spans="1:21" s="242" customFormat="1" ht="15" customHeight="1">
      <c r="A49" s="373"/>
      <c r="B49" s="309"/>
      <c r="C49" s="257"/>
      <c r="D49" s="258"/>
      <c r="E49" s="258"/>
      <c r="F49" s="258"/>
      <c r="G49" s="259"/>
      <c r="H49" s="260" t="s">
        <v>41</v>
      </c>
      <c r="I49" s="260"/>
      <c r="J49" s="265">
        <v>1</v>
      </c>
      <c r="K49" s="265" t="s">
        <v>17</v>
      </c>
      <c r="L49" s="265" t="s">
        <v>20</v>
      </c>
      <c r="M49" s="265">
        <v>8</v>
      </c>
      <c r="N49" s="266" t="s">
        <v>212</v>
      </c>
      <c r="O49" s="265">
        <f>SUM(J49*M49)</f>
        <v>8</v>
      </c>
      <c r="P49" s="258" t="s">
        <v>43</v>
      </c>
      <c r="Q49" s="267">
        <v>85000</v>
      </c>
      <c r="R49" s="267">
        <f>O49*Q49</f>
        <v>680000</v>
      </c>
      <c r="T49" s="271"/>
    </row>
    <row r="50" spans="1:21" s="242" customFormat="1" ht="15" customHeight="1">
      <c r="A50" s="373"/>
      <c r="B50" s="309"/>
      <c r="C50" s="257"/>
      <c r="D50" s="258"/>
      <c r="E50" s="258"/>
      <c r="F50" s="258"/>
      <c r="G50" s="259"/>
      <c r="H50" s="260" t="s">
        <v>42</v>
      </c>
      <c r="I50" s="260"/>
      <c r="J50" s="265">
        <v>1</v>
      </c>
      <c r="K50" s="265" t="s">
        <v>17</v>
      </c>
      <c r="L50" s="265" t="s">
        <v>20</v>
      </c>
      <c r="M50" s="265">
        <v>8</v>
      </c>
      <c r="N50" s="266" t="s">
        <v>212</v>
      </c>
      <c r="O50" s="265">
        <f>J50*M50</f>
        <v>8</v>
      </c>
      <c r="P50" s="258" t="s">
        <v>213</v>
      </c>
      <c r="Q50" s="267">
        <v>65000</v>
      </c>
      <c r="R50" s="267">
        <f>O50*Q50</f>
        <v>520000</v>
      </c>
      <c r="T50" s="681">
        <f>Q53</f>
        <v>1215000</v>
      </c>
    </row>
    <row r="51" spans="1:21" s="242" customFormat="1" ht="15" customHeight="1">
      <c r="A51" s="373"/>
      <c r="B51" s="309"/>
      <c r="C51" s="257"/>
      <c r="D51" s="258"/>
      <c r="E51" s="258"/>
      <c r="F51" s="258"/>
      <c r="G51" s="259"/>
      <c r="H51" s="260"/>
      <c r="I51" s="260"/>
      <c r="J51" s="260"/>
      <c r="K51" s="260"/>
      <c r="L51" s="260"/>
      <c r="M51" s="260"/>
      <c r="N51" s="262"/>
      <c r="O51" s="258"/>
      <c r="P51" s="258"/>
      <c r="Q51" s="267"/>
      <c r="R51" s="267"/>
      <c r="T51" s="271"/>
    </row>
    <row r="52" spans="1:21" s="242" customFormat="1" ht="15" customHeight="1">
      <c r="A52" s="373"/>
      <c r="B52" s="309"/>
      <c r="C52" s="257"/>
      <c r="D52" s="258"/>
      <c r="E52" s="258"/>
      <c r="F52" s="258"/>
      <c r="G52" s="259"/>
      <c r="H52" s="261" t="s">
        <v>44</v>
      </c>
      <c r="I52" s="260"/>
      <c r="J52" s="260"/>
      <c r="K52" s="260"/>
      <c r="L52" s="265"/>
      <c r="M52" s="265"/>
      <c r="N52" s="266"/>
      <c r="O52" s="258"/>
      <c r="P52" s="258"/>
      <c r="Q52" s="267"/>
      <c r="R52" s="264">
        <f>SUM(R53)+R54</f>
        <v>5280000</v>
      </c>
      <c r="T52" s="271">
        <v>45000</v>
      </c>
    </row>
    <row r="53" spans="1:21" s="242" customFormat="1" ht="15" customHeight="1">
      <c r="A53" s="373"/>
      <c r="B53" s="309"/>
      <c r="C53" s="257"/>
      <c r="D53" s="258"/>
      <c r="E53" s="258"/>
      <c r="F53" s="258"/>
      <c r="G53" s="259"/>
      <c r="H53" s="260" t="s">
        <v>41</v>
      </c>
      <c r="I53" s="260"/>
      <c r="J53" s="265">
        <v>1</v>
      </c>
      <c r="K53" s="265" t="s">
        <v>17</v>
      </c>
      <c r="L53" s="265" t="s">
        <v>20</v>
      </c>
      <c r="M53" s="265">
        <v>2</v>
      </c>
      <c r="N53" s="266" t="s">
        <v>212</v>
      </c>
      <c r="O53" s="265">
        <f>SUM(J53*M53)</f>
        <v>2</v>
      </c>
      <c r="P53" s="258" t="s">
        <v>43</v>
      </c>
      <c r="Q53" s="267">
        <v>1215000</v>
      </c>
      <c r="R53" s="270">
        <f>SUM(O53*Q53)</f>
        <v>2430000</v>
      </c>
      <c r="T53" s="271">
        <v>40000</v>
      </c>
    </row>
    <row r="54" spans="1:21" s="242" customFormat="1" ht="15" customHeight="1">
      <c r="A54" s="373"/>
      <c r="B54" s="309"/>
      <c r="C54" s="257"/>
      <c r="D54" s="258"/>
      <c r="E54" s="258"/>
      <c r="F54" s="258"/>
      <c r="G54" s="259"/>
      <c r="H54" s="260" t="s">
        <v>42</v>
      </c>
      <c r="I54" s="260"/>
      <c r="J54" s="265">
        <v>3</v>
      </c>
      <c r="K54" s="265" t="s">
        <v>17</v>
      </c>
      <c r="L54" s="265" t="s">
        <v>20</v>
      </c>
      <c r="M54" s="265">
        <v>1</v>
      </c>
      <c r="N54" s="266" t="s">
        <v>212</v>
      </c>
      <c r="O54" s="265">
        <f>J54*M54</f>
        <v>3</v>
      </c>
      <c r="P54" s="258" t="s">
        <v>213</v>
      </c>
      <c r="Q54" s="267">
        <v>950000</v>
      </c>
      <c r="R54" s="270">
        <f>O54*Q54</f>
        <v>2850000</v>
      </c>
      <c r="T54" s="271"/>
    </row>
    <row r="55" spans="1:21" s="242" customFormat="1" ht="15" customHeight="1">
      <c r="A55" s="373"/>
      <c r="B55" s="309"/>
      <c r="C55" s="257"/>
      <c r="D55" s="258"/>
      <c r="E55" s="258"/>
      <c r="F55" s="258"/>
      <c r="G55" s="259"/>
      <c r="H55" s="260"/>
      <c r="I55" s="260"/>
      <c r="J55" s="260"/>
      <c r="K55" s="260"/>
      <c r="L55" s="265"/>
      <c r="M55" s="265"/>
      <c r="N55" s="266"/>
      <c r="O55" s="258"/>
      <c r="P55" s="258"/>
      <c r="Q55" s="267"/>
      <c r="R55" s="270"/>
      <c r="T55" s="271"/>
    </row>
    <row r="56" spans="1:21" s="242" customFormat="1" ht="15" customHeight="1">
      <c r="A56" s="373"/>
      <c r="B56" s="309"/>
      <c r="C56" s="257"/>
      <c r="D56" s="258"/>
      <c r="E56" s="258"/>
      <c r="F56" s="258"/>
      <c r="G56" s="265"/>
      <c r="H56" s="261" t="s">
        <v>45</v>
      </c>
      <c r="I56" s="260"/>
      <c r="J56" s="260"/>
      <c r="K56" s="260"/>
      <c r="L56" s="265"/>
      <c r="M56" s="265"/>
      <c r="N56" s="266"/>
      <c r="O56" s="258"/>
      <c r="P56" s="258"/>
      <c r="Q56" s="267"/>
      <c r="R56" s="264">
        <f>SUM(R57:R57)+R58</f>
        <v>28850000</v>
      </c>
      <c r="T56" s="271">
        <v>425000</v>
      </c>
      <c r="U56" s="271">
        <f>350000*5</f>
        <v>1750000</v>
      </c>
    </row>
    <row r="57" spans="1:21" s="242" customFormat="1" ht="15" customHeight="1">
      <c r="A57" s="373"/>
      <c r="B57" s="309"/>
      <c r="C57" s="257"/>
      <c r="D57" s="258"/>
      <c r="E57" s="258"/>
      <c r="F57" s="258"/>
      <c r="G57" s="265"/>
      <c r="H57" s="260" t="s">
        <v>41</v>
      </c>
      <c r="I57" s="260"/>
      <c r="J57" s="265">
        <v>1</v>
      </c>
      <c r="K57" s="265" t="s">
        <v>17</v>
      </c>
      <c r="L57" s="265" t="s">
        <v>20</v>
      </c>
      <c r="M57" s="265">
        <v>2</v>
      </c>
      <c r="N57" s="266" t="s">
        <v>212</v>
      </c>
      <c r="O57" s="265">
        <f>SUM(J57*M57)</f>
        <v>2</v>
      </c>
      <c r="P57" s="258" t="s">
        <v>43</v>
      </c>
      <c r="Q57" s="267">
        <v>6550000</v>
      </c>
      <c r="R57" s="270">
        <f>SUM(O57*Q57)</f>
        <v>13100000</v>
      </c>
      <c r="T57" s="271">
        <v>300000</v>
      </c>
      <c r="U57" s="271">
        <v>250000</v>
      </c>
    </row>
    <row r="58" spans="1:21" s="242" customFormat="1" ht="15" customHeight="1">
      <c r="A58" s="373"/>
      <c r="B58" s="309"/>
      <c r="C58" s="257"/>
      <c r="D58" s="258"/>
      <c r="E58" s="258"/>
      <c r="F58" s="258"/>
      <c r="G58" s="265"/>
      <c r="H58" s="260" t="s">
        <v>42</v>
      </c>
      <c r="I58" s="260"/>
      <c r="J58" s="265">
        <v>3</v>
      </c>
      <c r="K58" s="265" t="s">
        <v>17</v>
      </c>
      <c r="L58" s="265" t="s">
        <v>20</v>
      </c>
      <c r="M58" s="265">
        <v>1</v>
      </c>
      <c r="N58" s="266" t="s">
        <v>212</v>
      </c>
      <c r="O58" s="265">
        <f>J58*M58</f>
        <v>3</v>
      </c>
      <c r="P58" s="258" t="s">
        <v>43</v>
      </c>
      <c r="Q58" s="267">
        <v>5250000</v>
      </c>
      <c r="R58" s="270">
        <f>O58*Q58</f>
        <v>15750000</v>
      </c>
      <c r="T58" s="271">
        <v>350000</v>
      </c>
      <c r="U58" s="282">
        <f>SUM(U56:U57)</f>
        <v>2000000</v>
      </c>
    </row>
    <row r="59" spans="1:21" s="242" customFormat="1" ht="15" customHeight="1">
      <c r="A59" s="373"/>
      <c r="B59" s="309"/>
      <c r="C59" s="257"/>
      <c r="D59" s="258"/>
      <c r="E59" s="258"/>
      <c r="F59" s="258"/>
      <c r="G59" s="265"/>
      <c r="H59" s="260"/>
      <c r="I59" s="260"/>
      <c r="J59" s="265"/>
      <c r="K59" s="265"/>
      <c r="L59" s="265"/>
      <c r="M59" s="265"/>
      <c r="N59" s="266"/>
      <c r="O59" s="265"/>
      <c r="P59" s="258"/>
      <c r="Q59" s="267"/>
      <c r="R59" s="270"/>
      <c r="T59" s="271"/>
    </row>
    <row r="60" spans="1:21" s="242" customFormat="1" ht="15" customHeight="1">
      <c r="A60" s="374"/>
      <c r="B60" s="318"/>
      <c r="C60" s="319"/>
      <c r="D60" s="314"/>
      <c r="E60" s="314"/>
      <c r="F60" s="314"/>
      <c r="G60" s="269" t="s">
        <v>14</v>
      </c>
      <c r="H60" s="261" t="s">
        <v>397</v>
      </c>
      <c r="I60" s="261"/>
      <c r="J60" s="312"/>
      <c r="K60" s="312"/>
      <c r="L60" s="312"/>
      <c r="M60" s="312"/>
      <c r="N60" s="313"/>
      <c r="O60" s="312"/>
      <c r="P60" s="314"/>
      <c r="Q60" s="320"/>
      <c r="R60" s="264">
        <f>R61</f>
        <v>660000</v>
      </c>
      <c r="T60" s="681">
        <f>R60/2</f>
        <v>330000</v>
      </c>
    </row>
    <row r="61" spans="1:21" s="242" customFormat="1" ht="15" customHeight="1">
      <c r="A61" s="375"/>
      <c r="B61" s="376"/>
      <c r="C61" s="662"/>
      <c r="D61" s="666"/>
      <c r="E61" s="666"/>
      <c r="F61" s="666"/>
      <c r="G61" s="274"/>
      <c r="H61" s="377" t="s">
        <v>398</v>
      </c>
      <c r="I61" s="275"/>
      <c r="J61" s="274"/>
      <c r="K61" s="274"/>
      <c r="L61" s="274"/>
      <c r="M61" s="274"/>
      <c r="N61" s="663"/>
      <c r="O61" s="274">
        <v>12</v>
      </c>
      <c r="P61" s="666" t="s">
        <v>21</v>
      </c>
      <c r="Q61" s="277">
        <v>55000</v>
      </c>
      <c r="R61" s="278">
        <f>O61*Q61</f>
        <v>660000</v>
      </c>
      <c r="T61" s="271"/>
    </row>
    <row r="62" spans="1:21" s="242" customFormat="1" ht="15" customHeight="1">
      <c r="A62" s="354"/>
      <c r="B62" s="354"/>
      <c r="C62" s="355"/>
      <c r="D62" s="355"/>
      <c r="E62" s="355"/>
      <c r="F62" s="355"/>
      <c r="G62" s="355"/>
      <c r="H62" s="356"/>
      <c r="I62" s="357"/>
      <c r="J62" s="355"/>
      <c r="K62" s="355"/>
      <c r="L62" s="355"/>
      <c r="M62" s="355"/>
      <c r="N62" s="355"/>
      <c r="O62" s="355"/>
      <c r="P62" s="355"/>
      <c r="Q62" s="358"/>
      <c r="R62" s="359"/>
      <c r="T62" s="271"/>
    </row>
    <row r="63" spans="1:21" s="242" customFormat="1" ht="15" customHeight="1">
      <c r="A63" s="284"/>
      <c r="B63" s="284"/>
      <c r="C63" s="338"/>
      <c r="D63" s="338"/>
      <c r="E63" s="338"/>
      <c r="F63" s="338"/>
      <c r="G63" s="338"/>
      <c r="H63" s="360"/>
      <c r="I63" s="337"/>
      <c r="J63" s="338"/>
      <c r="K63" s="338"/>
      <c r="L63" s="338"/>
      <c r="M63" s="338"/>
      <c r="N63" s="338"/>
      <c r="O63" s="338"/>
      <c r="P63" s="338"/>
      <c r="Q63" s="361"/>
      <c r="R63" s="362"/>
      <c r="T63" s="681">
        <f>Q57</f>
        <v>6550000</v>
      </c>
    </row>
    <row r="64" spans="1:21" s="242" customFormat="1" ht="15" customHeight="1">
      <c r="A64" s="284"/>
      <c r="B64" s="284"/>
      <c r="C64" s="338"/>
      <c r="D64" s="338"/>
      <c r="E64" s="338"/>
      <c r="F64" s="338"/>
      <c r="G64" s="338"/>
      <c r="H64" s="360"/>
      <c r="I64" s="337"/>
      <c r="J64" s="338"/>
      <c r="K64" s="338"/>
      <c r="L64" s="338"/>
      <c r="M64" s="338"/>
      <c r="N64" s="338"/>
      <c r="O64" s="338"/>
      <c r="P64" s="338"/>
      <c r="Q64" s="361"/>
      <c r="R64" s="362"/>
      <c r="T64" s="271"/>
    </row>
    <row r="65" spans="1:21" s="242" customFormat="1" ht="15" customHeight="1">
      <c r="A65" s="284"/>
      <c r="B65" s="284"/>
      <c r="C65" s="338"/>
      <c r="D65" s="338"/>
      <c r="E65" s="338"/>
      <c r="F65" s="338"/>
      <c r="G65" s="338"/>
      <c r="H65" s="360"/>
      <c r="I65" s="337"/>
      <c r="J65" s="338"/>
      <c r="K65" s="338"/>
      <c r="L65" s="338"/>
      <c r="M65" s="338"/>
      <c r="N65" s="338"/>
      <c r="O65" s="338"/>
      <c r="P65" s="338"/>
      <c r="Q65" s="361"/>
      <c r="R65" s="362"/>
      <c r="T65" s="271"/>
    </row>
    <row r="66" spans="1:21" s="242" customFormat="1" ht="15" customHeight="1">
      <c r="A66" s="284"/>
      <c r="B66" s="284"/>
      <c r="C66" s="338"/>
      <c r="D66" s="338"/>
      <c r="E66" s="338"/>
      <c r="F66" s="338"/>
      <c r="G66" s="338"/>
      <c r="H66" s="360"/>
      <c r="I66" s="337"/>
      <c r="J66" s="338"/>
      <c r="K66" s="338"/>
      <c r="L66" s="338"/>
      <c r="M66" s="338"/>
      <c r="N66" s="338"/>
      <c r="O66" s="338"/>
      <c r="P66" s="338"/>
      <c r="Q66" s="361"/>
      <c r="R66" s="362"/>
      <c r="T66" s="271"/>
    </row>
    <row r="67" spans="1:21" s="242" customFormat="1" ht="15" customHeight="1">
      <c r="A67" s="284"/>
      <c r="B67" s="284"/>
      <c r="C67" s="338"/>
      <c r="D67" s="338"/>
      <c r="E67" s="338"/>
      <c r="F67" s="338"/>
      <c r="G67" s="338"/>
      <c r="H67" s="360"/>
      <c r="I67" s="337"/>
      <c r="J67" s="338"/>
      <c r="K67" s="338"/>
      <c r="L67" s="338"/>
      <c r="M67" s="338"/>
      <c r="N67" s="338"/>
      <c r="O67" s="338"/>
      <c r="P67" s="338"/>
      <c r="Q67" s="361"/>
      <c r="R67" s="362"/>
      <c r="T67" s="271"/>
    </row>
    <row r="68" spans="1:21" s="242" customFormat="1" ht="15" customHeight="1">
      <c r="A68" s="284"/>
      <c r="B68" s="284"/>
      <c r="C68" s="338"/>
      <c r="D68" s="338"/>
      <c r="E68" s="338"/>
      <c r="F68" s="338"/>
      <c r="G68" s="338"/>
      <c r="H68" s="360"/>
      <c r="I68" s="337"/>
      <c r="J68" s="338"/>
      <c r="K68" s="338"/>
      <c r="L68" s="338"/>
      <c r="M68" s="338"/>
      <c r="N68" s="338"/>
      <c r="O68" s="338"/>
      <c r="P68" s="338"/>
      <c r="Q68" s="361"/>
      <c r="R68" s="362"/>
      <c r="T68" s="271"/>
    </row>
    <row r="69" spans="1:21" s="242" customFormat="1" ht="15" customHeight="1">
      <c r="A69" s="284"/>
      <c r="B69" s="284"/>
      <c r="C69" s="338"/>
      <c r="D69" s="338"/>
      <c r="E69" s="338"/>
      <c r="F69" s="338"/>
      <c r="G69" s="338"/>
      <c r="H69" s="360"/>
      <c r="I69" s="337"/>
      <c r="J69" s="338"/>
      <c r="K69" s="338"/>
      <c r="L69" s="338"/>
      <c r="M69" s="338"/>
      <c r="N69" s="338"/>
      <c r="O69" s="338"/>
      <c r="P69" s="338"/>
      <c r="Q69" s="361"/>
      <c r="R69" s="362"/>
      <c r="T69" s="271"/>
    </row>
    <row r="70" spans="1:21" s="242" customFormat="1" ht="15" customHeight="1">
      <c r="A70" s="284"/>
      <c r="B70" s="284"/>
      <c r="C70" s="338"/>
      <c r="D70" s="338"/>
      <c r="E70" s="338"/>
      <c r="F70" s="338"/>
      <c r="G70" s="338"/>
      <c r="H70" s="360"/>
      <c r="I70" s="337"/>
      <c r="J70" s="338"/>
      <c r="K70" s="338"/>
      <c r="L70" s="338"/>
      <c r="M70" s="338"/>
      <c r="N70" s="338"/>
      <c r="O70" s="338"/>
      <c r="P70" s="338"/>
      <c r="Q70" s="361"/>
      <c r="R70" s="362"/>
      <c r="T70" s="271"/>
    </row>
    <row r="71" spans="1:21" s="242" customFormat="1" ht="15" customHeight="1">
      <c r="A71" s="288"/>
      <c r="B71" s="288"/>
      <c r="C71" s="363"/>
      <c r="D71" s="363"/>
      <c r="E71" s="363"/>
      <c r="F71" s="363"/>
      <c r="G71" s="363"/>
      <c r="H71" s="364"/>
      <c r="I71" s="364"/>
      <c r="J71" s="363"/>
      <c r="K71" s="363"/>
      <c r="L71" s="363"/>
      <c r="M71" s="363"/>
      <c r="N71" s="363"/>
      <c r="O71" s="363"/>
      <c r="P71" s="363"/>
      <c r="Q71" s="365"/>
      <c r="R71" s="366"/>
      <c r="T71" s="271"/>
    </row>
    <row r="72" spans="1:21" s="242" customFormat="1" ht="15" customHeight="1">
      <c r="A72" s="372"/>
      <c r="B72" s="305"/>
      <c r="C72" s="306"/>
      <c r="D72" s="307"/>
      <c r="E72" s="307"/>
      <c r="F72" s="307"/>
      <c r="G72" s="674" t="s">
        <v>14</v>
      </c>
      <c r="H72" s="675" t="s">
        <v>194</v>
      </c>
      <c r="I72" s="542"/>
      <c r="J72" s="560"/>
      <c r="K72" s="560"/>
      <c r="L72" s="560"/>
      <c r="M72" s="560"/>
      <c r="N72" s="540"/>
      <c r="O72" s="560"/>
      <c r="P72" s="307"/>
      <c r="Q72" s="562"/>
      <c r="R72" s="347">
        <f>R74</f>
        <v>600000</v>
      </c>
      <c r="T72" s="271"/>
    </row>
    <row r="73" spans="1:21" s="242" customFormat="1" ht="15" customHeight="1">
      <c r="A73" s="373"/>
      <c r="B73" s="309"/>
      <c r="C73" s="257"/>
      <c r="D73" s="258"/>
      <c r="E73" s="258"/>
      <c r="F73" s="258"/>
      <c r="G73" s="265"/>
      <c r="H73" s="260" t="s">
        <v>287</v>
      </c>
      <c r="I73" s="260"/>
      <c r="J73" s="265"/>
      <c r="K73" s="265"/>
      <c r="L73" s="265"/>
      <c r="M73" s="265"/>
      <c r="N73" s="266"/>
      <c r="O73" s="265"/>
      <c r="P73" s="258"/>
      <c r="Q73" s="267"/>
      <c r="R73" s="270"/>
      <c r="T73" s="271"/>
    </row>
    <row r="74" spans="1:21" s="242" customFormat="1" ht="15" customHeight="1">
      <c r="A74" s="373"/>
      <c r="B74" s="309"/>
      <c r="C74" s="657"/>
      <c r="D74" s="659"/>
      <c r="E74" s="659"/>
      <c r="F74" s="659"/>
      <c r="G74" s="265"/>
      <c r="H74" s="321" t="s">
        <v>214</v>
      </c>
      <c r="I74" s="260"/>
      <c r="J74" s="265"/>
      <c r="K74" s="265"/>
      <c r="L74" s="265"/>
      <c r="M74" s="265"/>
      <c r="N74" s="658"/>
      <c r="O74" s="265">
        <v>12</v>
      </c>
      <c r="P74" s="659" t="s">
        <v>212</v>
      </c>
      <c r="Q74" s="267">
        <v>50000</v>
      </c>
      <c r="R74" s="270">
        <f>O74*Q74</f>
        <v>600000</v>
      </c>
      <c r="T74" s="271"/>
    </row>
    <row r="75" spans="1:21" s="242" customFormat="1" ht="15" customHeight="1">
      <c r="A75" s="372"/>
      <c r="B75" s="305"/>
      <c r="C75" s="306"/>
      <c r="D75" s="307"/>
      <c r="E75" s="307"/>
      <c r="F75" s="307"/>
      <c r="G75" s="342" t="s">
        <v>470</v>
      </c>
      <c r="H75" s="343"/>
      <c r="I75" s="542"/>
      <c r="J75" s="560"/>
      <c r="K75" s="560"/>
      <c r="L75" s="560"/>
      <c r="M75" s="560"/>
      <c r="N75" s="540"/>
      <c r="O75" s="560"/>
      <c r="P75" s="307"/>
      <c r="Q75" s="562"/>
      <c r="R75" s="347">
        <f>R76+R82</f>
        <v>28800000</v>
      </c>
      <c r="T75" s="681">
        <f>T76+T83</f>
        <v>14400000</v>
      </c>
    </row>
    <row r="76" spans="1:21" s="242" customFormat="1" ht="15" customHeight="1">
      <c r="A76" s="373"/>
      <c r="B76" s="309"/>
      <c r="C76" s="257"/>
      <c r="D76" s="258"/>
      <c r="E76" s="258"/>
      <c r="F76" s="258"/>
      <c r="G76" s="310"/>
      <c r="H76" s="310" t="s">
        <v>525</v>
      </c>
      <c r="I76" s="310"/>
      <c r="J76" s="323"/>
      <c r="K76" s="323"/>
      <c r="L76" s="323"/>
      <c r="M76" s="323"/>
      <c r="N76" s="324"/>
      <c r="O76" s="263"/>
      <c r="P76" s="263"/>
      <c r="Q76" s="263"/>
      <c r="R76" s="264">
        <f>SUM(R77:R80)</f>
        <v>23400000</v>
      </c>
      <c r="T76" s="681">
        <f>SUM(T77:T80)</f>
        <v>11700000</v>
      </c>
    </row>
    <row r="77" spans="1:21" s="242" customFormat="1" ht="15" customHeight="1">
      <c r="A77" s="373"/>
      <c r="B77" s="309"/>
      <c r="C77" s="257"/>
      <c r="D77" s="258"/>
      <c r="E77" s="258"/>
      <c r="F77" s="258"/>
      <c r="G77" s="310"/>
      <c r="H77" s="260" t="s">
        <v>41</v>
      </c>
      <c r="I77" s="260"/>
      <c r="J77" s="265">
        <v>1</v>
      </c>
      <c r="K77" s="260" t="s">
        <v>17</v>
      </c>
      <c r="L77" s="265" t="s">
        <v>20</v>
      </c>
      <c r="M77" s="265">
        <v>12</v>
      </c>
      <c r="N77" s="266" t="s">
        <v>21</v>
      </c>
      <c r="O77" s="258">
        <f>J77*M77</f>
        <v>12</v>
      </c>
      <c r="P77" s="258" t="s">
        <v>39</v>
      </c>
      <c r="Q77" s="267">
        <v>550000</v>
      </c>
      <c r="R77" s="270">
        <f>SUM(O77*Q77)</f>
        <v>6600000</v>
      </c>
      <c r="T77" s="271">
        <f>J77*6*550000</f>
        <v>3300000</v>
      </c>
    </row>
    <row r="78" spans="1:21" s="242" customFormat="1" ht="15" customHeight="1">
      <c r="A78" s="373"/>
      <c r="B78" s="309"/>
      <c r="C78" s="257"/>
      <c r="D78" s="258"/>
      <c r="E78" s="258"/>
      <c r="F78" s="258"/>
      <c r="G78" s="310"/>
      <c r="H78" s="260" t="s">
        <v>66</v>
      </c>
      <c r="I78" s="260"/>
      <c r="J78" s="265">
        <v>1</v>
      </c>
      <c r="K78" s="260" t="s">
        <v>17</v>
      </c>
      <c r="L78" s="265" t="s">
        <v>20</v>
      </c>
      <c r="M78" s="265">
        <v>12</v>
      </c>
      <c r="N78" s="266" t="s">
        <v>21</v>
      </c>
      <c r="O78" s="258">
        <f>J78*M78</f>
        <v>12</v>
      </c>
      <c r="P78" s="258" t="s">
        <v>39</v>
      </c>
      <c r="Q78" s="267">
        <v>500000</v>
      </c>
      <c r="R78" s="270">
        <f>SUM(O78*Q78)</f>
        <v>6000000</v>
      </c>
      <c r="T78" s="271">
        <f>J78*6*500000</f>
        <v>3000000</v>
      </c>
      <c r="U78" s="271"/>
    </row>
    <row r="79" spans="1:21" s="242" customFormat="1" ht="15" customHeight="1">
      <c r="A79" s="380"/>
      <c r="B79" s="325"/>
      <c r="C79" s="326"/>
      <c r="D79" s="327"/>
      <c r="E79" s="327"/>
      <c r="F79" s="327"/>
      <c r="G79" s="328"/>
      <c r="H79" s="329" t="s">
        <v>75</v>
      </c>
      <c r="I79" s="329"/>
      <c r="J79" s="330">
        <v>1</v>
      </c>
      <c r="K79" s="329" t="s">
        <v>17</v>
      </c>
      <c r="L79" s="330" t="s">
        <v>20</v>
      </c>
      <c r="M79" s="330">
        <v>12</v>
      </c>
      <c r="N79" s="331" t="s">
        <v>21</v>
      </c>
      <c r="O79" s="327">
        <f>J79*M79</f>
        <v>12</v>
      </c>
      <c r="P79" s="327" t="s">
        <v>39</v>
      </c>
      <c r="Q79" s="332">
        <v>400000</v>
      </c>
      <c r="R79" s="333">
        <f>SUM(O79*Q79)</f>
        <v>4800000</v>
      </c>
      <c r="T79" s="271">
        <f>J79*6*400000</f>
        <v>2400000</v>
      </c>
      <c r="U79" s="271"/>
    </row>
    <row r="80" spans="1:21" s="242" customFormat="1" ht="15" customHeight="1">
      <c r="A80" s="283"/>
      <c r="B80" s="284"/>
      <c r="C80" s="334"/>
      <c r="D80" s="335"/>
      <c r="E80" s="335"/>
      <c r="F80" s="335"/>
      <c r="G80" s="336"/>
      <c r="H80" s="337" t="s">
        <v>564</v>
      </c>
      <c r="I80" s="337"/>
      <c r="J80" s="338">
        <v>2</v>
      </c>
      <c r="K80" s="337" t="s">
        <v>17</v>
      </c>
      <c r="L80" s="338" t="s">
        <v>20</v>
      </c>
      <c r="M80" s="338">
        <v>12</v>
      </c>
      <c r="N80" s="339" t="s">
        <v>21</v>
      </c>
      <c r="O80" s="335">
        <f>J80*M80</f>
        <v>24</v>
      </c>
      <c r="P80" s="335" t="s">
        <v>39</v>
      </c>
      <c r="Q80" s="340">
        <v>250000</v>
      </c>
      <c r="R80" s="341">
        <f>O80*Q80</f>
        <v>6000000</v>
      </c>
      <c r="T80" s="271">
        <f>J80*6*250000</f>
        <v>3000000</v>
      </c>
      <c r="U80" s="271"/>
    </row>
    <row r="81" spans="1:21" s="242" customFormat="1" ht="6.75" customHeight="1">
      <c r="A81" s="283"/>
      <c r="B81" s="284"/>
      <c r="C81" s="334"/>
      <c r="D81" s="335"/>
      <c r="E81" s="335"/>
      <c r="F81" s="335"/>
      <c r="G81" s="336"/>
      <c r="H81" s="337"/>
      <c r="I81" s="337"/>
      <c r="J81" s="338"/>
      <c r="K81" s="337"/>
      <c r="L81" s="338"/>
      <c r="M81" s="338"/>
      <c r="N81" s="339"/>
      <c r="O81" s="335"/>
      <c r="P81" s="335"/>
      <c r="Q81" s="340"/>
      <c r="R81" s="341"/>
      <c r="T81" s="271"/>
      <c r="U81" s="271"/>
    </row>
    <row r="82" spans="1:21" s="242" customFormat="1" ht="15" customHeight="1">
      <c r="A82" s="372"/>
      <c r="B82" s="305"/>
      <c r="C82" s="306"/>
      <c r="D82" s="307"/>
      <c r="E82" s="307"/>
      <c r="F82" s="307"/>
      <c r="G82" s="342"/>
      <c r="H82" s="343" t="s">
        <v>563</v>
      </c>
      <c r="I82" s="343"/>
      <c r="J82" s="344"/>
      <c r="K82" s="344"/>
      <c r="L82" s="344"/>
      <c r="M82" s="344"/>
      <c r="N82" s="345"/>
      <c r="O82" s="346"/>
      <c r="P82" s="346"/>
      <c r="Q82" s="346"/>
      <c r="R82" s="347">
        <f>SUM(R83:R85)</f>
        <v>5400000</v>
      </c>
      <c r="T82" s="271"/>
      <c r="U82" s="271"/>
    </row>
    <row r="83" spans="1:21" s="242" customFormat="1" ht="15" customHeight="1">
      <c r="A83" s="373"/>
      <c r="B83" s="309"/>
      <c r="C83" s="257"/>
      <c r="D83" s="258"/>
      <c r="E83" s="258"/>
      <c r="F83" s="258"/>
      <c r="G83" s="310"/>
      <c r="H83" s="260" t="s">
        <v>49</v>
      </c>
      <c r="I83" s="260"/>
      <c r="J83" s="265">
        <v>1</v>
      </c>
      <c r="K83" s="260" t="s">
        <v>17</v>
      </c>
      <c r="L83" s="265" t="s">
        <v>20</v>
      </c>
      <c r="M83" s="265">
        <v>6</v>
      </c>
      <c r="N83" s="266" t="s">
        <v>212</v>
      </c>
      <c r="O83" s="258">
        <f>J83*M83</f>
        <v>6</v>
      </c>
      <c r="P83" s="258" t="s">
        <v>43</v>
      </c>
      <c r="Q83" s="267">
        <v>250000</v>
      </c>
      <c r="R83" s="270">
        <f>SUM(O83*Q83)</f>
        <v>1500000</v>
      </c>
      <c r="T83" s="271">
        <f>R82/2</f>
        <v>2700000</v>
      </c>
      <c r="U83" s="271"/>
    </row>
    <row r="84" spans="1:21" s="242" customFormat="1" ht="15" customHeight="1">
      <c r="A84" s="373"/>
      <c r="B84" s="309"/>
      <c r="C84" s="257"/>
      <c r="D84" s="258"/>
      <c r="E84" s="258"/>
      <c r="F84" s="258"/>
      <c r="G84" s="310"/>
      <c r="H84" s="260" t="s">
        <v>66</v>
      </c>
      <c r="I84" s="260"/>
      <c r="J84" s="265">
        <v>1</v>
      </c>
      <c r="K84" s="260" t="s">
        <v>17</v>
      </c>
      <c r="L84" s="265" t="s">
        <v>20</v>
      </c>
      <c r="M84" s="265">
        <v>6</v>
      </c>
      <c r="N84" s="266" t="s">
        <v>212</v>
      </c>
      <c r="O84" s="258">
        <f>J84*M84</f>
        <v>6</v>
      </c>
      <c r="P84" s="258" t="s">
        <v>43</v>
      </c>
      <c r="Q84" s="267">
        <v>200000</v>
      </c>
      <c r="R84" s="270">
        <f>SUM(O84*Q84)</f>
        <v>1200000</v>
      </c>
      <c r="T84" s="271"/>
      <c r="U84" s="271"/>
    </row>
    <row r="85" spans="1:21" s="242" customFormat="1" ht="15" customHeight="1">
      <c r="A85" s="373"/>
      <c r="B85" s="309"/>
      <c r="C85" s="257"/>
      <c r="D85" s="258"/>
      <c r="E85" s="258"/>
      <c r="F85" s="258"/>
      <c r="G85" s="310"/>
      <c r="H85" s="260" t="s">
        <v>50</v>
      </c>
      <c r="I85" s="260"/>
      <c r="J85" s="265">
        <v>3</v>
      </c>
      <c r="K85" s="260" t="s">
        <v>17</v>
      </c>
      <c r="L85" s="265" t="s">
        <v>20</v>
      </c>
      <c r="M85" s="265">
        <v>6</v>
      </c>
      <c r="N85" s="266" t="s">
        <v>212</v>
      </c>
      <c r="O85" s="258">
        <f>J85*M85</f>
        <v>18</v>
      </c>
      <c r="P85" s="258" t="s">
        <v>43</v>
      </c>
      <c r="Q85" s="267">
        <v>150000</v>
      </c>
      <c r="R85" s="270">
        <f>SUM(O85*Q85)</f>
        <v>2700000</v>
      </c>
      <c r="T85" s="271"/>
      <c r="U85" s="271"/>
    </row>
    <row r="86" spans="1:21" s="242" customFormat="1" ht="15" customHeight="1">
      <c r="A86" s="373"/>
      <c r="B86" s="309"/>
      <c r="C86" s="657"/>
      <c r="D86" s="659"/>
      <c r="E86" s="659"/>
      <c r="F86" s="659"/>
      <c r="G86" s="665"/>
      <c r="H86" s="260"/>
      <c r="I86" s="260"/>
      <c r="J86" s="265"/>
      <c r="K86" s="260"/>
      <c r="L86" s="265"/>
      <c r="M86" s="265"/>
      <c r="N86" s="658"/>
      <c r="O86" s="265"/>
      <c r="P86" s="659"/>
      <c r="Q86" s="267"/>
      <c r="R86" s="270"/>
      <c r="T86" s="271"/>
      <c r="U86" s="271"/>
    </row>
    <row r="87" spans="1:21" s="242" customFormat="1" ht="15" customHeight="1">
      <c r="A87" s="373"/>
      <c r="B87" s="309"/>
      <c r="C87" s="657">
        <v>2</v>
      </c>
      <c r="D87" s="659">
        <v>1</v>
      </c>
      <c r="E87" s="659">
        <v>2</v>
      </c>
      <c r="F87" s="659">
        <v>3</v>
      </c>
      <c r="G87" s="665" t="s">
        <v>60</v>
      </c>
      <c r="H87" s="260"/>
      <c r="I87" s="260"/>
      <c r="J87" s="265"/>
      <c r="K87" s="260"/>
      <c r="L87" s="265"/>
      <c r="M87" s="265"/>
      <c r="N87" s="658"/>
      <c r="O87" s="265"/>
      <c r="P87" s="659"/>
      <c r="Q87" s="267"/>
      <c r="R87" s="264">
        <f>R88</f>
        <v>20000000</v>
      </c>
      <c r="T87" s="271"/>
      <c r="U87" s="271"/>
    </row>
    <row r="88" spans="1:21" s="242" customFormat="1" ht="15" customHeight="1">
      <c r="A88" s="373"/>
      <c r="B88" s="309"/>
      <c r="C88" s="657"/>
      <c r="D88" s="659"/>
      <c r="E88" s="659"/>
      <c r="F88" s="659"/>
      <c r="G88" s="665"/>
      <c r="H88" s="321" t="s">
        <v>565</v>
      </c>
      <c r="I88" s="260"/>
      <c r="J88" s="265"/>
      <c r="K88" s="260"/>
      <c r="L88" s="265"/>
      <c r="M88" s="265"/>
      <c r="N88" s="658"/>
      <c r="O88" s="265">
        <v>1</v>
      </c>
      <c r="P88" s="659" t="s">
        <v>448</v>
      </c>
      <c r="Q88" s="267">
        <v>20000000</v>
      </c>
      <c r="R88" s="270">
        <f>O88*Q88</f>
        <v>20000000</v>
      </c>
      <c r="T88" s="271"/>
      <c r="U88" s="271"/>
    </row>
    <row r="89" spans="1:21" s="242" customFormat="1" ht="15" customHeight="1">
      <c r="A89" s="373"/>
      <c r="B89" s="309"/>
      <c r="C89" s="257"/>
      <c r="D89" s="258"/>
      <c r="E89" s="258"/>
      <c r="F89" s="258"/>
      <c r="G89" s="310"/>
      <c r="H89" s="260"/>
      <c r="I89" s="260"/>
      <c r="J89" s="265"/>
      <c r="K89" s="260"/>
      <c r="L89" s="265"/>
      <c r="M89" s="265"/>
      <c r="N89" s="266"/>
      <c r="O89" s="265"/>
      <c r="P89" s="258"/>
      <c r="Q89" s="267"/>
      <c r="R89" s="270"/>
      <c r="T89" s="271"/>
      <c r="U89" s="271"/>
    </row>
    <row r="90" spans="1:21" s="242" customFormat="1" ht="15" customHeight="1">
      <c r="A90" s="287"/>
      <c r="B90" s="288"/>
      <c r="C90" s="279"/>
      <c r="D90" s="348"/>
      <c r="E90" s="348"/>
      <c r="F90" s="348"/>
      <c r="G90" s="848" t="s">
        <v>163</v>
      </c>
      <c r="H90" s="849"/>
      <c r="I90" s="849"/>
      <c r="J90" s="849"/>
      <c r="K90" s="849"/>
      <c r="L90" s="849"/>
      <c r="M90" s="849"/>
      <c r="N90" s="850"/>
      <c r="O90" s="348"/>
      <c r="P90" s="348"/>
      <c r="Q90" s="349"/>
      <c r="R90" s="350">
        <f>R15+R87</f>
        <v>92002500</v>
      </c>
      <c r="T90" s="681">
        <f>T75+T63+T60+T50+T48+T38+T34+T30+T16</f>
        <v>28063750</v>
      </c>
    </row>
    <row r="91" spans="1:21" s="242" customFormat="1" ht="15" customHeight="1">
      <c r="A91" s="283"/>
      <c r="B91" s="284"/>
      <c r="C91" s="351"/>
      <c r="D91" s="286"/>
      <c r="E91" s="286"/>
      <c r="F91" s="286"/>
      <c r="G91" s="268"/>
      <c r="H91" s="268"/>
      <c r="I91" s="268"/>
      <c r="J91" s="268"/>
      <c r="K91" s="268"/>
      <c r="L91" s="268"/>
      <c r="M91" s="268"/>
      <c r="N91" s="268"/>
      <c r="O91" s="286"/>
      <c r="P91" s="286"/>
      <c r="Q91" s="352"/>
      <c r="R91" s="353"/>
      <c r="T91" s="271"/>
    </row>
    <row r="92" spans="1:21" s="242" customFormat="1" ht="15" customHeight="1">
      <c r="A92" s="283"/>
      <c r="B92" s="284"/>
      <c r="C92" s="351"/>
      <c r="D92" s="286"/>
      <c r="E92" s="286"/>
      <c r="F92" s="286"/>
      <c r="G92" s="268"/>
      <c r="H92" s="268"/>
      <c r="I92" s="268"/>
      <c r="J92" s="268"/>
      <c r="K92" s="268"/>
      <c r="L92" s="268"/>
      <c r="M92" s="268"/>
      <c r="N92" s="268"/>
      <c r="O92" s="286"/>
      <c r="P92" s="286"/>
      <c r="Q92" s="352"/>
      <c r="R92" s="353"/>
      <c r="T92" s="271"/>
    </row>
    <row r="93" spans="1:21" s="242" customFormat="1" ht="15" customHeight="1">
      <c r="A93" s="283"/>
      <c r="B93" s="284"/>
      <c r="C93" s="351"/>
      <c r="D93" s="286"/>
      <c r="E93" s="286"/>
      <c r="F93" s="286"/>
      <c r="G93" s="268"/>
      <c r="H93" s="268"/>
      <c r="I93" s="268"/>
      <c r="J93" s="268"/>
      <c r="K93" s="268"/>
      <c r="L93" s="268"/>
      <c r="M93" s="268"/>
      <c r="N93" s="268"/>
      <c r="O93" s="286"/>
      <c r="P93" s="286"/>
      <c r="Q93" s="352"/>
      <c r="R93" s="353"/>
      <c r="T93" s="271"/>
    </row>
    <row r="94" spans="1:21" s="242" customFormat="1" ht="15" customHeight="1">
      <c r="A94" s="283"/>
      <c r="B94" s="284"/>
      <c r="C94" s="351"/>
      <c r="D94" s="286"/>
      <c r="E94" s="286"/>
      <c r="F94" s="286"/>
      <c r="G94" s="268"/>
      <c r="H94" s="268"/>
      <c r="I94" s="268"/>
      <c r="J94" s="268"/>
      <c r="K94" s="268"/>
      <c r="L94" s="268"/>
      <c r="M94" s="268"/>
      <c r="N94" s="268"/>
      <c r="O94" s="286"/>
      <c r="P94" s="286"/>
      <c r="Q94" s="352" t="s">
        <v>552</v>
      </c>
      <c r="R94" s="353"/>
      <c r="T94" s="271"/>
    </row>
    <row r="95" spans="1:21" s="242" customFormat="1" ht="16.5">
      <c r="A95" s="283"/>
      <c r="B95" s="284"/>
      <c r="C95" s="283"/>
      <c r="D95" s="284"/>
      <c r="E95" s="284"/>
      <c r="F95" s="284"/>
      <c r="G95" s="284"/>
      <c r="H95" s="286" t="s">
        <v>167</v>
      </c>
      <c r="I95" s="284"/>
      <c r="J95" s="284"/>
      <c r="K95" s="284"/>
      <c r="L95" s="284"/>
      <c r="M95" s="284"/>
      <c r="N95" s="284"/>
      <c r="O95" s="284"/>
      <c r="P95" s="284"/>
      <c r="Q95" s="284" t="s">
        <v>193</v>
      </c>
      <c r="R95" s="285"/>
      <c r="T95" s="271">
        <f>T90*10%</f>
        <v>2806375</v>
      </c>
    </row>
    <row r="96" spans="1:21" s="242" customFormat="1" ht="16.5">
      <c r="A96" s="283"/>
      <c r="B96" s="284"/>
      <c r="C96" s="283"/>
      <c r="D96" s="284"/>
      <c r="E96" s="284"/>
      <c r="F96" s="284"/>
      <c r="G96" s="284"/>
      <c r="H96" s="286" t="s">
        <v>303</v>
      </c>
      <c r="I96" s="284"/>
      <c r="J96" s="284"/>
      <c r="K96" s="284"/>
      <c r="L96" s="284"/>
      <c r="M96" s="284"/>
      <c r="N96" s="284"/>
      <c r="O96" s="284"/>
      <c r="P96" s="284"/>
      <c r="Q96" s="284"/>
      <c r="R96" s="285"/>
      <c r="T96" s="271">
        <f>T90*10%</f>
        <v>2806375</v>
      </c>
    </row>
    <row r="97" spans="1:20" s="242" customFormat="1" ht="16.5">
      <c r="A97" s="283"/>
      <c r="B97" s="284"/>
      <c r="C97" s="283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5"/>
      <c r="T97" s="271">
        <f>SUM(T90:T96)</f>
        <v>33676500</v>
      </c>
    </row>
    <row r="98" spans="1:20" s="242" customFormat="1" ht="16.5">
      <c r="A98" s="283"/>
      <c r="B98" s="284"/>
      <c r="C98" s="283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5"/>
      <c r="T98" s="271"/>
    </row>
    <row r="99" spans="1:20" s="242" customFormat="1" ht="16.5">
      <c r="A99" s="283"/>
      <c r="B99" s="284"/>
      <c r="C99" s="283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5"/>
      <c r="T99" s="271"/>
    </row>
    <row r="100" spans="1:20" s="242" customFormat="1" ht="16.5">
      <c r="A100" s="283"/>
      <c r="B100" s="284"/>
      <c r="C100" s="283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5"/>
      <c r="T100" s="271"/>
    </row>
    <row r="101" spans="1:20" s="242" customFormat="1" ht="16.5">
      <c r="A101" s="283"/>
      <c r="B101" s="284"/>
      <c r="C101" s="283"/>
      <c r="D101" s="284"/>
      <c r="E101" s="284"/>
      <c r="F101" s="284"/>
      <c r="G101" s="284"/>
      <c r="H101" s="303" t="s">
        <v>306</v>
      </c>
      <c r="I101" s="284"/>
      <c r="J101" s="284"/>
      <c r="K101" s="284"/>
      <c r="L101" s="284"/>
      <c r="M101" s="284"/>
      <c r="N101" s="284"/>
      <c r="O101" s="284"/>
      <c r="P101" s="284"/>
      <c r="Q101" s="381" t="s">
        <v>551</v>
      </c>
      <c r="R101" s="285"/>
      <c r="T101" s="271"/>
    </row>
    <row r="102" spans="1:20" s="242" customFormat="1" ht="16.5">
      <c r="A102" s="287"/>
      <c r="B102" s="288"/>
      <c r="C102" s="287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9"/>
      <c r="T102" s="271"/>
    </row>
    <row r="103" spans="1:20" s="242" customFormat="1" ht="16.5">
      <c r="T103" s="271"/>
    </row>
    <row r="104" spans="1:20" s="242" customFormat="1" ht="16.5">
      <c r="T104" s="271"/>
    </row>
    <row r="105" spans="1:20" s="242" customFormat="1" ht="16.5">
      <c r="T105" s="271"/>
    </row>
    <row r="106" spans="1:20" s="242" customFormat="1" ht="16.5">
      <c r="T106" s="271"/>
    </row>
    <row r="107" spans="1:20" s="242" customFormat="1" ht="16.5">
      <c r="T107" s="271"/>
    </row>
    <row r="108" spans="1:20" s="242" customFormat="1" ht="16.5">
      <c r="T108" s="271"/>
    </row>
    <row r="109" spans="1:20" s="242" customFormat="1" ht="16.5">
      <c r="T109" s="271"/>
    </row>
    <row r="110" spans="1:20" s="242" customFormat="1" ht="16.5">
      <c r="T110" s="271"/>
    </row>
    <row r="111" spans="1:20" s="242" customFormat="1" ht="16.5">
      <c r="T111" s="271"/>
    </row>
    <row r="112" spans="1:20" s="242" customFormat="1" ht="16.5">
      <c r="T112" s="271"/>
    </row>
    <row r="113" spans="20:20" s="242" customFormat="1" ht="16.5">
      <c r="T113" s="271"/>
    </row>
    <row r="114" spans="20:20" s="242" customFormat="1" ht="16.5">
      <c r="T114" s="271"/>
    </row>
    <row r="115" spans="20:20" s="242" customFormat="1" ht="16.5">
      <c r="T115" s="271"/>
    </row>
    <row r="116" spans="20:20" s="242" customFormat="1" ht="16.5">
      <c r="T116" s="271"/>
    </row>
    <row r="117" spans="20:20" s="242" customFormat="1" ht="16.5">
      <c r="T117" s="271"/>
    </row>
    <row r="118" spans="20:20" s="242" customFormat="1" ht="16.5">
      <c r="T118" s="271"/>
    </row>
    <row r="119" spans="20:20" s="242" customFormat="1" ht="16.5">
      <c r="T119" s="271"/>
    </row>
    <row r="120" spans="20:20" s="242" customFormat="1" ht="16.5">
      <c r="T120" s="271"/>
    </row>
    <row r="121" spans="20:20" s="242" customFormat="1" ht="16.5">
      <c r="T121" s="271"/>
    </row>
    <row r="122" spans="20:20" s="242" customFormat="1" ht="16.5">
      <c r="T122" s="271"/>
    </row>
    <row r="123" spans="20:20" s="242" customFormat="1" ht="16.5">
      <c r="T123" s="271"/>
    </row>
    <row r="124" spans="20:20" s="242" customFormat="1" ht="16.5">
      <c r="T124" s="271"/>
    </row>
    <row r="125" spans="20:20" s="242" customFormat="1" ht="16.5">
      <c r="T125" s="271"/>
    </row>
    <row r="126" spans="20:20" s="242" customFormat="1" ht="16.5">
      <c r="T126" s="271"/>
    </row>
    <row r="127" spans="20:20" s="242" customFormat="1" ht="16.5">
      <c r="T127" s="271"/>
    </row>
    <row r="128" spans="20:20" s="242" customFormat="1" ht="16.5">
      <c r="T128" s="271"/>
    </row>
    <row r="129" spans="20:20" s="242" customFormat="1" ht="16.5">
      <c r="T129" s="271"/>
    </row>
    <row r="130" spans="20:20" s="242" customFormat="1" ht="16.5">
      <c r="T130" s="271"/>
    </row>
    <row r="131" spans="20:20" s="242" customFormat="1" ht="16.5">
      <c r="T131" s="271"/>
    </row>
    <row r="132" spans="20:20" s="242" customFormat="1" ht="16.5">
      <c r="T132" s="271"/>
    </row>
    <row r="133" spans="20:20" s="242" customFormat="1" ht="16.5">
      <c r="T133" s="271"/>
    </row>
    <row r="134" spans="20:20" s="242" customFormat="1" ht="16.5">
      <c r="T134" s="271"/>
    </row>
    <row r="135" spans="20:20" s="242" customFormat="1" ht="16.5">
      <c r="T135" s="271"/>
    </row>
    <row r="136" spans="20:20" s="242" customFormat="1" ht="16.5">
      <c r="T136" s="271"/>
    </row>
    <row r="137" spans="20:20" s="242" customFormat="1" ht="16.5">
      <c r="T137" s="271"/>
    </row>
    <row r="138" spans="20:20" s="242" customFormat="1" ht="16.5">
      <c r="T138" s="271"/>
    </row>
    <row r="139" spans="20:20" s="242" customFormat="1" ht="16.5">
      <c r="T139" s="271"/>
    </row>
    <row r="140" spans="20:20" s="242" customFormat="1" ht="16.5">
      <c r="T140" s="271"/>
    </row>
    <row r="141" spans="20:20" s="242" customFormat="1" ht="16.5">
      <c r="T141" s="271"/>
    </row>
    <row r="142" spans="20:20" s="242" customFormat="1" ht="16.5">
      <c r="T142" s="271"/>
    </row>
    <row r="143" spans="20:20" s="242" customFormat="1" ht="16.5">
      <c r="T143" s="271"/>
    </row>
    <row r="144" spans="20:20" s="242" customFormat="1" ht="16.5">
      <c r="T144" s="271"/>
    </row>
    <row r="145" spans="20:20" s="242" customFormat="1" ht="16.5">
      <c r="T145" s="271"/>
    </row>
    <row r="146" spans="20:20" s="242" customFormat="1" ht="16.5">
      <c r="T146" s="271"/>
    </row>
    <row r="147" spans="20:20" s="242" customFormat="1" ht="16.5">
      <c r="T147" s="271"/>
    </row>
    <row r="148" spans="20:20" s="242" customFormat="1" ht="16.5">
      <c r="T148" s="271"/>
    </row>
    <row r="149" spans="20:20" s="242" customFormat="1" ht="16.5">
      <c r="T149" s="271"/>
    </row>
    <row r="150" spans="20:20" s="242" customFormat="1" ht="16.5">
      <c r="T150" s="271"/>
    </row>
    <row r="151" spans="20:20" s="242" customFormat="1" ht="16.5">
      <c r="T151" s="271"/>
    </row>
    <row r="152" spans="20:20" s="242" customFormat="1" ht="16.5">
      <c r="T152" s="271"/>
    </row>
    <row r="153" spans="20:20" s="237" customFormat="1" ht="13.5">
      <c r="T153" s="244"/>
    </row>
    <row r="154" spans="20:20" s="237" customFormat="1" ht="13.5">
      <c r="T154" s="244"/>
    </row>
    <row r="155" spans="20:20" s="237" customFormat="1" ht="13.5">
      <c r="T155" s="244"/>
    </row>
    <row r="156" spans="20:20" s="237" customFormat="1" ht="13.5">
      <c r="T156" s="244"/>
    </row>
    <row r="157" spans="20:20" s="237" customFormat="1" ht="13.5">
      <c r="T157" s="244"/>
    </row>
    <row r="158" spans="20:20" s="237" customFormat="1" ht="13.5">
      <c r="T158" s="244"/>
    </row>
    <row r="159" spans="20:20" s="237" customFormat="1" ht="13.5">
      <c r="T159" s="244"/>
    </row>
    <row r="160" spans="20:20" s="237" customFormat="1" ht="13.5">
      <c r="T160" s="244"/>
    </row>
    <row r="161" spans="20:20" s="237" customFormat="1" ht="13.5">
      <c r="T161" s="244"/>
    </row>
    <row r="162" spans="20:20" s="237" customFormat="1" ht="13.5">
      <c r="T162" s="244"/>
    </row>
    <row r="163" spans="20:20" s="237" customFormat="1" ht="13.5">
      <c r="T163" s="244"/>
    </row>
    <row r="164" spans="20:20" s="237" customFormat="1" ht="13.5">
      <c r="T164" s="244"/>
    </row>
    <row r="165" spans="20:20" s="237" customFormat="1" ht="13.5">
      <c r="T165" s="244"/>
    </row>
    <row r="166" spans="20:20" s="237" customFormat="1" ht="13.5">
      <c r="T166" s="244"/>
    </row>
    <row r="167" spans="20:20" s="237" customFormat="1" ht="13.5">
      <c r="T167" s="244"/>
    </row>
    <row r="168" spans="20:20" s="237" customFormat="1" ht="13.5">
      <c r="T168" s="244"/>
    </row>
    <row r="169" spans="20:20" s="237" customFormat="1" ht="13.5">
      <c r="T169" s="244"/>
    </row>
    <row r="170" spans="20:20" s="237" customFormat="1" ht="13.5">
      <c r="T170" s="244"/>
    </row>
    <row r="171" spans="20:20" s="237" customFormat="1" ht="13.5">
      <c r="T171" s="244"/>
    </row>
    <row r="172" spans="20:20" s="237" customFormat="1" ht="13.5">
      <c r="T172" s="244"/>
    </row>
    <row r="173" spans="20:20" s="237" customFormat="1" ht="13.5">
      <c r="T173" s="244"/>
    </row>
    <row r="174" spans="20:20" s="237" customFormat="1" ht="13.5">
      <c r="T174" s="244"/>
    </row>
    <row r="175" spans="20:20" s="237" customFormat="1" ht="13.5">
      <c r="T175" s="244"/>
    </row>
    <row r="176" spans="20:20" s="237" customFormat="1" ht="13.5">
      <c r="T176" s="244"/>
    </row>
    <row r="177" spans="20:20" s="237" customFormat="1" ht="13.5">
      <c r="T177" s="244"/>
    </row>
    <row r="178" spans="20:20" s="237" customFormat="1" ht="13.5">
      <c r="T178" s="244"/>
    </row>
    <row r="179" spans="20:20" s="237" customFormat="1" ht="13.5">
      <c r="T179" s="244"/>
    </row>
    <row r="180" spans="20:20" s="237" customFormat="1" ht="13.5">
      <c r="T180" s="244"/>
    </row>
    <row r="181" spans="20:20" s="237" customFormat="1" ht="13.5">
      <c r="T181" s="244"/>
    </row>
    <row r="182" spans="20:20" s="237" customFormat="1" ht="13.5">
      <c r="T182" s="244"/>
    </row>
    <row r="183" spans="20:20" s="237" customFormat="1" ht="13.5">
      <c r="T183" s="244"/>
    </row>
    <row r="184" spans="20:20" s="237" customFormat="1" ht="13.5">
      <c r="T184" s="244"/>
    </row>
    <row r="185" spans="20:20" s="237" customFormat="1" ht="13.5">
      <c r="T185" s="244"/>
    </row>
    <row r="186" spans="20:20" s="237" customFormat="1" ht="13.5">
      <c r="T186" s="244"/>
    </row>
    <row r="187" spans="20:20" s="237" customFormat="1" ht="13.5">
      <c r="T187" s="244"/>
    </row>
    <row r="188" spans="20:20" s="237" customFormat="1" ht="13.5">
      <c r="T188" s="244"/>
    </row>
    <row r="189" spans="20:20" s="237" customFormat="1" ht="13.5">
      <c r="T189" s="244"/>
    </row>
    <row r="190" spans="20:20" s="237" customFormat="1" ht="13.5">
      <c r="T190" s="244"/>
    </row>
    <row r="191" spans="20:20" s="237" customFormat="1" ht="13.5">
      <c r="T191" s="244"/>
    </row>
    <row r="192" spans="20:20" s="237" customFormat="1" ht="13.5">
      <c r="T192" s="244"/>
    </row>
    <row r="193" spans="20:20" s="237" customFormat="1" ht="13.5">
      <c r="T193" s="244"/>
    </row>
    <row r="194" spans="20:20" s="237" customFormat="1" ht="13.5">
      <c r="T194" s="244"/>
    </row>
    <row r="195" spans="20:20" s="237" customFormat="1" ht="13.5">
      <c r="T195" s="244"/>
    </row>
    <row r="196" spans="20:20" s="237" customFormat="1" ht="13.5">
      <c r="T196" s="244"/>
    </row>
    <row r="197" spans="20:20" s="237" customFormat="1" ht="13.5">
      <c r="T197" s="244"/>
    </row>
    <row r="198" spans="20:20" s="237" customFormat="1" ht="13.5">
      <c r="T198" s="244"/>
    </row>
    <row r="199" spans="20:20" s="237" customFormat="1" ht="13.5">
      <c r="T199" s="244"/>
    </row>
    <row r="200" spans="20:20" s="237" customFormat="1" ht="13.5">
      <c r="T200" s="244"/>
    </row>
    <row r="201" spans="20:20" s="237" customFormat="1" ht="13.5">
      <c r="T201" s="244"/>
    </row>
    <row r="202" spans="20:20" s="237" customFormat="1" ht="13.5">
      <c r="T202" s="244"/>
    </row>
    <row r="203" spans="20:20" s="237" customFormat="1" ht="13.5">
      <c r="T203" s="244"/>
    </row>
    <row r="204" spans="20:20" s="237" customFormat="1" ht="13.5">
      <c r="T204" s="244"/>
    </row>
    <row r="205" spans="20:20" s="237" customFormat="1" ht="13.5">
      <c r="T205" s="244"/>
    </row>
    <row r="206" spans="20:20" s="237" customFormat="1" ht="13.5">
      <c r="T206" s="244"/>
    </row>
    <row r="207" spans="20:20" s="237" customFormat="1" ht="13.5">
      <c r="T207" s="244"/>
    </row>
    <row r="208" spans="20:20" s="237" customFormat="1" ht="13.5">
      <c r="T208" s="244"/>
    </row>
    <row r="209" spans="20:20" s="237" customFormat="1" ht="13.5">
      <c r="T209" s="244"/>
    </row>
    <row r="210" spans="20:20" s="237" customFormat="1" ht="13.5">
      <c r="T210" s="244"/>
    </row>
    <row r="211" spans="20:20" s="237" customFormat="1" ht="13.5">
      <c r="T211" s="244"/>
    </row>
    <row r="212" spans="20:20" s="237" customFormat="1" ht="13.5">
      <c r="T212" s="244"/>
    </row>
    <row r="213" spans="20:20" s="237" customFormat="1" ht="13.5">
      <c r="T213" s="244"/>
    </row>
    <row r="214" spans="20:20" s="237" customFormat="1" ht="13.5">
      <c r="T214" s="244"/>
    </row>
    <row r="215" spans="20:20" s="237" customFormat="1" ht="13.5">
      <c r="T215" s="244"/>
    </row>
    <row r="216" spans="20:20" s="237" customFormat="1" ht="13.5">
      <c r="T216" s="244"/>
    </row>
    <row r="217" spans="20:20" s="237" customFormat="1" ht="13.5">
      <c r="T217" s="244"/>
    </row>
    <row r="218" spans="20:20" s="237" customFormat="1" ht="13.5">
      <c r="T218" s="244"/>
    </row>
    <row r="219" spans="20:20" s="237" customFormat="1" ht="13.5">
      <c r="T219" s="244"/>
    </row>
    <row r="220" spans="20:20" s="237" customFormat="1" ht="13.5">
      <c r="T220" s="244"/>
    </row>
    <row r="221" spans="20:20" s="237" customFormat="1" ht="13.5">
      <c r="T221" s="244"/>
    </row>
    <row r="222" spans="20:20" s="237" customFormat="1" ht="13.5">
      <c r="T222" s="244"/>
    </row>
    <row r="223" spans="20:20" s="237" customFormat="1" ht="13.5">
      <c r="T223" s="244"/>
    </row>
    <row r="224" spans="20:20" s="237" customFormat="1" ht="13.5">
      <c r="T224" s="244"/>
    </row>
    <row r="225" spans="20:20" s="237" customFormat="1" ht="13.5">
      <c r="T225" s="244"/>
    </row>
    <row r="226" spans="20:20" s="237" customFormat="1" ht="13.5">
      <c r="T226" s="244"/>
    </row>
    <row r="227" spans="20:20" s="237" customFormat="1" ht="13.5">
      <c r="T227" s="244"/>
    </row>
    <row r="228" spans="20:20" s="237" customFormat="1" ht="13.5">
      <c r="T228" s="244"/>
    </row>
    <row r="229" spans="20:20" s="237" customFormat="1" ht="13.5">
      <c r="T229" s="244"/>
    </row>
    <row r="230" spans="20:20" s="237" customFormat="1" ht="13.5">
      <c r="T230" s="244"/>
    </row>
    <row r="231" spans="20:20" s="237" customFormat="1" ht="13.5">
      <c r="T231" s="244"/>
    </row>
    <row r="232" spans="20:20" s="237" customFormat="1" ht="13.5">
      <c r="T232" s="244"/>
    </row>
    <row r="233" spans="20:20" s="237" customFormat="1" ht="13.5">
      <c r="T233" s="244"/>
    </row>
    <row r="234" spans="20:20" s="237" customFormat="1" ht="13.5">
      <c r="T234" s="244"/>
    </row>
    <row r="235" spans="20:20" s="237" customFormat="1" ht="13.5">
      <c r="T235" s="244"/>
    </row>
    <row r="236" spans="20:20" s="237" customFormat="1" ht="13.5">
      <c r="T236" s="244"/>
    </row>
    <row r="237" spans="20:20" s="237" customFormat="1" ht="13.5">
      <c r="T237" s="244"/>
    </row>
    <row r="238" spans="20:20" s="237" customFormat="1" ht="13.5">
      <c r="T238" s="244"/>
    </row>
    <row r="239" spans="20:20" s="237" customFormat="1" ht="13.5">
      <c r="T239" s="244"/>
    </row>
    <row r="240" spans="20:20" s="237" customFormat="1" ht="13.5">
      <c r="T240" s="244"/>
    </row>
    <row r="241" spans="20:20" s="237" customFormat="1" ht="13.5">
      <c r="T241" s="244"/>
    </row>
    <row r="242" spans="20:20" s="237" customFormat="1" ht="13.5">
      <c r="T242" s="244"/>
    </row>
    <row r="243" spans="20:20" s="237" customFormat="1" ht="13.5">
      <c r="T243" s="244"/>
    </row>
    <row r="244" spans="20:20" s="237" customFormat="1" ht="13.5">
      <c r="T244" s="244"/>
    </row>
    <row r="245" spans="20:20" s="237" customFormat="1" ht="13.5">
      <c r="T245" s="244"/>
    </row>
    <row r="246" spans="20:20" s="237" customFormat="1" ht="13.5">
      <c r="T246" s="244"/>
    </row>
    <row r="247" spans="20:20" s="237" customFormat="1" ht="13.5">
      <c r="T247" s="244"/>
    </row>
    <row r="248" spans="20:20" s="237" customFormat="1" ht="13.5">
      <c r="T248" s="244"/>
    </row>
    <row r="249" spans="20:20" s="237" customFormat="1" ht="13.5">
      <c r="T249" s="244"/>
    </row>
    <row r="250" spans="20:20" s="237" customFormat="1" ht="13.5">
      <c r="T250" s="244"/>
    </row>
    <row r="251" spans="20:20" s="237" customFormat="1" ht="13.5">
      <c r="T251" s="244"/>
    </row>
    <row r="252" spans="20:20" s="237" customFormat="1" ht="13.5">
      <c r="T252" s="244"/>
    </row>
    <row r="253" spans="20:20" s="237" customFormat="1" ht="13.5">
      <c r="T253" s="244"/>
    </row>
    <row r="254" spans="20:20" s="237" customFormat="1" ht="13.5">
      <c r="T254" s="244"/>
    </row>
    <row r="255" spans="20:20" s="237" customFormat="1" ht="13.5">
      <c r="T255" s="244"/>
    </row>
    <row r="256" spans="20:20" s="237" customFormat="1" ht="13.5">
      <c r="T256" s="244"/>
    </row>
    <row r="257" spans="20:20" s="237" customFormat="1" ht="13.5">
      <c r="T257" s="244"/>
    </row>
    <row r="258" spans="20:20" s="237" customFormat="1" ht="13.5">
      <c r="T258" s="244"/>
    </row>
    <row r="259" spans="20:20" s="237" customFormat="1" ht="13.5">
      <c r="T259" s="244"/>
    </row>
    <row r="260" spans="20:20" s="237" customFormat="1" ht="13.5">
      <c r="T260" s="244"/>
    </row>
    <row r="261" spans="20:20" s="237" customFormat="1" ht="13.5">
      <c r="T261" s="244"/>
    </row>
    <row r="262" spans="20:20" s="237" customFormat="1" ht="13.5">
      <c r="T262" s="244"/>
    </row>
    <row r="263" spans="20:20" s="237" customFormat="1" ht="13.5">
      <c r="T263" s="244"/>
    </row>
    <row r="264" spans="20:20" s="237" customFormat="1" ht="13.5">
      <c r="T264" s="244"/>
    </row>
    <row r="265" spans="20:20" s="237" customFormat="1" ht="13.5">
      <c r="T265" s="244"/>
    </row>
    <row r="266" spans="20:20" s="237" customFormat="1" ht="13.5">
      <c r="T266" s="244"/>
    </row>
    <row r="267" spans="20:20" s="237" customFormat="1" ht="13.5">
      <c r="T267" s="244"/>
    </row>
    <row r="268" spans="20:20" s="237" customFormat="1" ht="13.5">
      <c r="T268" s="244"/>
    </row>
    <row r="269" spans="20:20" s="237" customFormat="1" ht="13.5">
      <c r="T269" s="244"/>
    </row>
    <row r="270" spans="20:20" s="237" customFormat="1" ht="13.5">
      <c r="T270" s="244"/>
    </row>
    <row r="271" spans="20:20" s="237" customFormat="1" ht="13.5">
      <c r="T271" s="244"/>
    </row>
    <row r="272" spans="20:20" s="237" customFormat="1" ht="13.5">
      <c r="T272" s="244"/>
    </row>
    <row r="273" spans="20:20" s="237" customFormat="1" ht="13.5">
      <c r="T273" s="244"/>
    </row>
    <row r="274" spans="20:20" s="237" customFormat="1" ht="13.5">
      <c r="T274" s="244"/>
    </row>
    <row r="275" spans="20:20" s="237" customFormat="1" ht="13.5">
      <c r="T275" s="244"/>
    </row>
    <row r="276" spans="20:20" s="237" customFormat="1" ht="13.5">
      <c r="T276" s="244"/>
    </row>
    <row r="277" spans="20:20" s="237" customFormat="1" ht="13.5">
      <c r="T277" s="244"/>
    </row>
    <row r="278" spans="20:20" s="237" customFormat="1" ht="13.5">
      <c r="T278" s="244"/>
    </row>
    <row r="279" spans="20:20" s="237" customFormat="1" ht="13.5">
      <c r="T279" s="244"/>
    </row>
    <row r="280" spans="20:20" s="237" customFormat="1" ht="13.5">
      <c r="T280" s="244"/>
    </row>
    <row r="281" spans="20:20" s="237" customFormat="1" ht="13.5">
      <c r="T281" s="244"/>
    </row>
    <row r="282" spans="20:20" s="237" customFormat="1" ht="13.5">
      <c r="T282" s="244"/>
    </row>
    <row r="283" spans="20:20" s="237" customFormat="1" ht="13.5">
      <c r="T283" s="244"/>
    </row>
    <row r="284" spans="20:20" s="237" customFormat="1" ht="13.5">
      <c r="T284" s="244"/>
    </row>
    <row r="285" spans="20:20" s="237" customFormat="1" ht="13.5">
      <c r="T285" s="244"/>
    </row>
    <row r="286" spans="20:20" s="237" customFormat="1" ht="13.5">
      <c r="T286" s="244"/>
    </row>
    <row r="287" spans="20:20" s="237" customFormat="1" ht="13.5">
      <c r="T287" s="244"/>
    </row>
    <row r="288" spans="20:20" s="237" customFormat="1" ht="13.5">
      <c r="T288" s="244"/>
    </row>
    <row r="289" spans="20:20" s="237" customFormat="1" ht="13.5">
      <c r="T289" s="244"/>
    </row>
    <row r="290" spans="20:20" s="237" customFormat="1" ht="13.5">
      <c r="T290" s="244"/>
    </row>
    <row r="291" spans="20:20" s="242" customFormat="1" ht="16.5">
      <c r="T291" s="271"/>
    </row>
    <row r="292" spans="20:20" s="242" customFormat="1" ht="16.5">
      <c r="T292" s="271"/>
    </row>
    <row r="293" spans="20:20" s="242" customFormat="1" ht="16.5">
      <c r="T293" s="271"/>
    </row>
    <row r="294" spans="20:20" s="242" customFormat="1" ht="16.5">
      <c r="T294" s="271"/>
    </row>
    <row r="295" spans="20:20" s="242" customFormat="1" ht="16.5">
      <c r="T295" s="271"/>
    </row>
    <row r="296" spans="20:20" s="242" customFormat="1" ht="16.5">
      <c r="T296" s="271"/>
    </row>
    <row r="297" spans="20:20" s="242" customFormat="1" ht="16.5">
      <c r="T297" s="271"/>
    </row>
    <row r="298" spans="20:20" s="242" customFormat="1" ht="16.5">
      <c r="T298" s="271"/>
    </row>
    <row r="299" spans="20:20" s="242" customFormat="1" ht="16.5">
      <c r="T299" s="271"/>
    </row>
    <row r="300" spans="20:20" s="242" customFormat="1" ht="16.5">
      <c r="T300" s="271"/>
    </row>
    <row r="301" spans="20:20" s="242" customFormat="1" ht="16.5">
      <c r="T301" s="271"/>
    </row>
    <row r="302" spans="20:20" s="242" customFormat="1" ht="16.5">
      <c r="T302" s="271"/>
    </row>
    <row r="303" spans="20:20" s="242" customFormat="1" ht="16.5">
      <c r="T303" s="271"/>
    </row>
    <row r="304" spans="20:20" s="242" customFormat="1" ht="16.5">
      <c r="T304" s="271"/>
    </row>
    <row r="305" spans="20:20" s="242" customFormat="1" ht="16.5">
      <c r="T305" s="271"/>
    </row>
    <row r="306" spans="20:20" s="242" customFormat="1" ht="16.5">
      <c r="T306" s="271"/>
    </row>
    <row r="307" spans="20:20" s="242" customFormat="1" ht="16.5">
      <c r="T307" s="271"/>
    </row>
    <row r="308" spans="20:20" s="242" customFormat="1" ht="16.5">
      <c r="T308" s="271"/>
    </row>
    <row r="309" spans="20:20" s="242" customFormat="1" ht="16.5">
      <c r="T309" s="271"/>
    </row>
    <row r="310" spans="20:20" s="242" customFormat="1" ht="16.5">
      <c r="T310" s="271"/>
    </row>
    <row r="311" spans="20:20" s="242" customFormat="1" ht="16.5">
      <c r="T311" s="271"/>
    </row>
    <row r="312" spans="20:20" s="242" customFormat="1" ht="16.5">
      <c r="T312" s="271"/>
    </row>
    <row r="313" spans="20:20" s="242" customFormat="1" ht="16.5">
      <c r="T313" s="271"/>
    </row>
    <row r="314" spans="20:20" s="242" customFormat="1" ht="16.5">
      <c r="T314" s="271"/>
    </row>
    <row r="315" spans="20:20" s="28" customFormat="1">
      <c r="T315" s="29"/>
    </row>
    <row r="316" spans="20:20" s="28" customFormat="1">
      <c r="T316" s="29"/>
    </row>
    <row r="317" spans="20:20" s="28" customFormat="1">
      <c r="T317" s="29"/>
    </row>
    <row r="318" spans="20:20" s="28" customFormat="1">
      <c r="T318" s="29"/>
    </row>
    <row r="319" spans="20:20" s="28" customFormat="1">
      <c r="T319" s="29"/>
    </row>
    <row r="320" spans="20:20" s="28" customFormat="1">
      <c r="T320" s="29"/>
    </row>
    <row r="321" spans="20:20" s="28" customFormat="1">
      <c r="T321" s="29"/>
    </row>
    <row r="322" spans="20:20" s="28" customFormat="1">
      <c r="T322" s="29"/>
    </row>
    <row r="323" spans="20:20" s="28" customFormat="1">
      <c r="T323" s="29"/>
    </row>
    <row r="324" spans="20:20" s="28" customFormat="1">
      <c r="T324" s="29"/>
    </row>
    <row r="325" spans="20:20" s="28" customFormat="1">
      <c r="T325" s="29"/>
    </row>
    <row r="326" spans="20:20" s="28" customFormat="1">
      <c r="T326" s="29"/>
    </row>
    <row r="327" spans="20:20" s="28" customFormat="1">
      <c r="T327" s="29"/>
    </row>
    <row r="328" spans="20:20" s="28" customFormat="1">
      <c r="T328" s="29"/>
    </row>
    <row r="329" spans="20:20" s="28" customFormat="1">
      <c r="T329" s="29"/>
    </row>
    <row r="330" spans="20:20" s="28" customFormat="1">
      <c r="T330" s="29"/>
    </row>
    <row r="331" spans="20:20" s="28" customFormat="1">
      <c r="T331" s="29"/>
    </row>
    <row r="332" spans="20:20" s="28" customFormat="1">
      <c r="T332" s="29"/>
    </row>
    <row r="333" spans="20:20" s="28" customFormat="1">
      <c r="T333" s="29"/>
    </row>
    <row r="334" spans="20:20" s="28" customFormat="1">
      <c r="T334" s="29"/>
    </row>
    <row r="335" spans="20:20" s="28" customFormat="1">
      <c r="T335" s="29"/>
    </row>
    <row r="336" spans="20:20" s="28" customFormat="1">
      <c r="T336" s="29"/>
    </row>
    <row r="337" spans="20:20" s="28" customFormat="1">
      <c r="T337" s="29"/>
    </row>
    <row r="338" spans="20:20" s="28" customFormat="1">
      <c r="T338" s="29"/>
    </row>
    <row r="339" spans="20:20" s="28" customFormat="1">
      <c r="T339" s="29"/>
    </row>
    <row r="340" spans="20:20" s="28" customFormat="1">
      <c r="T340" s="29"/>
    </row>
    <row r="341" spans="20:20" s="28" customFormat="1">
      <c r="T341" s="29"/>
    </row>
    <row r="342" spans="20:20" s="28" customFormat="1">
      <c r="T342" s="29"/>
    </row>
    <row r="343" spans="20:20" s="28" customFormat="1">
      <c r="T343" s="29"/>
    </row>
    <row r="344" spans="20:20" s="28" customFormat="1">
      <c r="T344" s="29"/>
    </row>
    <row r="345" spans="20:20" s="28" customFormat="1">
      <c r="T345" s="29"/>
    </row>
    <row r="346" spans="20:20" s="28" customFormat="1">
      <c r="T346" s="29"/>
    </row>
    <row r="347" spans="20:20" s="28" customFormat="1">
      <c r="T347" s="29"/>
    </row>
    <row r="348" spans="20:20" s="28" customFormat="1">
      <c r="T348" s="29"/>
    </row>
    <row r="349" spans="20:20" s="28" customFormat="1">
      <c r="T349" s="29"/>
    </row>
    <row r="350" spans="20:20" s="28" customFormat="1">
      <c r="T350" s="29"/>
    </row>
    <row r="351" spans="20:20" s="28" customFormat="1">
      <c r="T351" s="29"/>
    </row>
    <row r="352" spans="20:20" s="28" customFormat="1">
      <c r="T352" s="29"/>
    </row>
    <row r="353" spans="20:20" s="28" customFormat="1">
      <c r="T353" s="29"/>
    </row>
    <row r="354" spans="20:20" s="28" customFormat="1">
      <c r="T354" s="29"/>
    </row>
    <row r="355" spans="20:20" s="28" customFormat="1">
      <c r="T355" s="29"/>
    </row>
    <row r="356" spans="20:20" s="28" customFormat="1">
      <c r="T356" s="29"/>
    </row>
    <row r="357" spans="20:20" s="28" customFormat="1">
      <c r="T357" s="29"/>
    </row>
    <row r="358" spans="20:20" s="28" customFormat="1">
      <c r="T358" s="29"/>
    </row>
    <row r="359" spans="20:20" s="28" customFormat="1">
      <c r="T359" s="29"/>
    </row>
    <row r="360" spans="20:20" s="28" customFormat="1">
      <c r="T360" s="29"/>
    </row>
  </sheetData>
  <mergeCells count="13">
    <mergeCell ref="K7:R7"/>
    <mergeCell ref="O12:O13"/>
    <mergeCell ref="G12:N13"/>
    <mergeCell ref="P12:P13"/>
    <mergeCell ref="C1:R1"/>
    <mergeCell ref="C2:R2"/>
    <mergeCell ref="C3:R3"/>
    <mergeCell ref="K5:R5"/>
    <mergeCell ref="G90:N90"/>
    <mergeCell ref="C12:F13"/>
    <mergeCell ref="C14:F14"/>
    <mergeCell ref="G15:I15"/>
    <mergeCell ref="R12:R13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O225"/>
  <sheetViews>
    <sheetView topLeftCell="A4" zoomScaleSheetLayoutView="90" workbookViewId="0">
      <selection activeCell="N4" sqref="N4"/>
    </sheetView>
  </sheetViews>
  <sheetFormatPr defaultRowHeight="15"/>
  <cols>
    <col min="1" max="1" width="2.5703125" customWidth="1"/>
    <col min="2" max="3" width="3.28515625" customWidth="1"/>
    <col min="4" max="4" width="3" customWidth="1"/>
    <col min="5" max="5" width="1.140625" customWidth="1"/>
    <col min="6" max="6" width="22.140625" customWidth="1"/>
    <col min="7" max="7" width="2.5703125" customWidth="1"/>
    <col min="8" max="8" width="4.28515625" customWidth="1"/>
    <col min="9" max="9" width="2.85546875" customWidth="1"/>
    <col min="10" max="10" width="3.140625" customWidth="1"/>
    <col min="11" max="11" width="6.5703125" customWidth="1"/>
    <col min="12" max="12" width="7.140625" customWidth="1"/>
    <col min="13" max="13" width="7" customWidth="1"/>
    <col min="14" max="14" width="14.85546875" customWidth="1"/>
    <col min="15" max="15" width="14.5703125" customWidth="1"/>
    <col min="17" max="17" width="12" customWidth="1"/>
    <col min="18" max="18" width="10" bestFit="1" customWidth="1"/>
  </cols>
  <sheetData>
    <row r="1" spans="1:15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5"/>
    </row>
    <row r="2" spans="1:15" s="242" customFormat="1" ht="17.25">
      <c r="A2" s="856" t="s">
        <v>292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8"/>
    </row>
    <row r="3" spans="1:15" s="242" customFormat="1" ht="16.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1"/>
    </row>
    <row r="4" spans="1:15" s="243" customFormat="1" ht="12.75">
      <c r="A4" s="370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8"/>
    </row>
    <row r="5" spans="1:15" s="383" customFormat="1" ht="15" customHeight="1">
      <c r="A5" s="389" t="s">
        <v>7</v>
      </c>
      <c r="B5" s="337" t="s">
        <v>10</v>
      </c>
      <c r="C5" s="337"/>
      <c r="D5" s="337"/>
      <c r="E5" s="337"/>
      <c r="F5" s="337"/>
      <c r="G5" s="338" t="s">
        <v>12</v>
      </c>
      <c r="H5" s="867" t="s">
        <v>302</v>
      </c>
      <c r="I5" s="867"/>
      <c r="J5" s="867"/>
      <c r="K5" s="867"/>
      <c r="L5" s="867"/>
      <c r="M5" s="867"/>
      <c r="N5" s="867"/>
      <c r="O5" s="868"/>
    </row>
    <row r="6" spans="1:15" s="383" customFormat="1" ht="15" customHeight="1">
      <c r="A6" s="389" t="s">
        <v>8</v>
      </c>
      <c r="B6" s="337" t="s">
        <v>11</v>
      </c>
      <c r="C6" s="337"/>
      <c r="D6" s="337"/>
      <c r="E6" s="337"/>
      <c r="F6" s="337"/>
      <c r="G6" s="338" t="s">
        <v>12</v>
      </c>
      <c r="H6" s="337" t="s">
        <v>71</v>
      </c>
      <c r="I6" s="337"/>
      <c r="J6" s="337"/>
      <c r="K6" s="337"/>
      <c r="L6" s="337"/>
      <c r="M6" s="337"/>
      <c r="N6" s="337"/>
      <c r="O6" s="390"/>
    </row>
    <row r="7" spans="1:15" s="383" customFormat="1" ht="15" customHeight="1">
      <c r="A7" s="389" t="s">
        <v>9</v>
      </c>
      <c r="B7" s="337" t="s">
        <v>22</v>
      </c>
      <c r="C7" s="337"/>
      <c r="D7" s="337"/>
      <c r="E7" s="337"/>
      <c r="F7" s="337"/>
      <c r="G7" s="338" t="s">
        <v>12</v>
      </c>
      <c r="H7" s="867" t="s">
        <v>76</v>
      </c>
      <c r="I7" s="867"/>
      <c r="J7" s="867"/>
      <c r="K7" s="867"/>
      <c r="L7" s="867"/>
      <c r="M7" s="867"/>
      <c r="N7" s="867"/>
      <c r="O7" s="868"/>
    </row>
    <row r="8" spans="1:15" s="383" customFormat="1" ht="15" customHeight="1">
      <c r="A8" s="391" t="s">
        <v>312</v>
      </c>
      <c r="B8" s="337" t="s">
        <v>216</v>
      </c>
      <c r="C8" s="337"/>
      <c r="D8" s="337"/>
      <c r="E8" s="337"/>
      <c r="F8" s="338"/>
      <c r="G8" s="338" t="s">
        <v>12</v>
      </c>
      <c r="H8" s="392" t="s">
        <v>288</v>
      </c>
      <c r="I8" s="392"/>
      <c r="J8" s="392"/>
      <c r="K8" s="392"/>
      <c r="L8" s="392"/>
      <c r="M8" s="392"/>
      <c r="N8" s="392"/>
      <c r="O8" s="393"/>
    </row>
    <row r="9" spans="1:15" s="242" customFormat="1" ht="5.25" customHeight="1">
      <c r="A9" s="297"/>
      <c r="B9" s="295"/>
      <c r="C9" s="295"/>
      <c r="D9" s="295"/>
      <c r="E9" s="295"/>
      <c r="F9" s="286"/>
      <c r="G9" s="286"/>
      <c r="H9" s="298"/>
      <c r="I9" s="298"/>
      <c r="J9" s="298"/>
      <c r="K9" s="298"/>
      <c r="L9" s="298"/>
      <c r="M9" s="298"/>
      <c r="N9" s="298"/>
      <c r="O9" s="299"/>
    </row>
    <row r="10" spans="1:15" s="243" customFormat="1" ht="12.75">
      <c r="A10" s="394" t="s">
        <v>279</v>
      </c>
      <c r="B10" s="395"/>
      <c r="C10" s="395"/>
      <c r="D10" s="395"/>
      <c r="E10" s="395"/>
      <c r="F10" s="396" t="s">
        <v>12</v>
      </c>
      <c r="G10" s="382"/>
      <c r="H10" s="397"/>
      <c r="I10" s="397"/>
      <c r="J10" s="397"/>
      <c r="K10" s="397"/>
      <c r="L10" s="397"/>
      <c r="M10" s="397"/>
      <c r="N10" s="397"/>
      <c r="O10" s="398"/>
    </row>
    <row r="11" spans="1:15" s="242" customFormat="1" ht="4.5" customHeight="1">
      <c r="A11" s="283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5"/>
    </row>
    <row r="12" spans="1:15" s="243" customFormat="1" ht="12.75">
      <c r="A12" s="775" t="s">
        <v>0</v>
      </c>
      <c r="B12" s="776"/>
      <c r="C12" s="776"/>
      <c r="D12" s="777"/>
      <c r="E12" s="775" t="s">
        <v>1</v>
      </c>
      <c r="F12" s="776"/>
      <c r="G12" s="776"/>
      <c r="H12" s="776"/>
      <c r="I12" s="776"/>
      <c r="J12" s="776"/>
      <c r="K12" s="777"/>
      <c r="L12" s="780" t="s">
        <v>2</v>
      </c>
      <c r="M12" s="780" t="s">
        <v>47</v>
      </c>
      <c r="N12" s="290" t="s">
        <v>4</v>
      </c>
      <c r="O12" s="780" t="s">
        <v>3</v>
      </c>
    </row>
    <row r="13" spans="1:15" s="243" customFormat="1" ht="12.75">
      <c r="A13" s="863"/>
      <c r="B13" s="778"/>
      <c r="C13" s="778"/>
      <c r="D13" s="779"/>
      <c r="E13" s="863"/>
      <c r="F13" s="778"/>
      <c r="G13" s="778"/>
      <c r="H13" s="778"/>
      <c r="I13" s="778"/>
      <c r="J13" s="778"/>
      <c r="K13" s="779"/>
      <c r="L13" s="781"/>
      <c r="M13" s="781"/>
      <c r="N13" s="291" t="s">
        <v>5</v>
      </c>
      <c r="O13" s="781"/>
    </row>
    <row r="14" spans="1:15" s="237" customFormat="1" ht="13.5">
      <c r="A14" s="864">
        <v>1</v>
      </c>
      <c r="B14" s="865"/>
      <c r="C14" s="865"/>
      <c r="D14" s="866"/>
      <c r="E14" s="238"/>
      <c r="F14" s="240">
        <v>2</v>
      </c>
      <c r="G14" s="240"/>
      <c r="H14" s="240"/>
      <c r="I14" s="240"/>
      <c r="J14" s="240"/>
      <c r="K14" s="241"/>
      <c r="L14" s="239">
        <v>3</v>
      </c>
      <c r="M14" s="239"/>
      <c r="N14" s="239">
        <v>4</v>
      </c>
      <c r="O14" s="239">
        <v>5</v>
      </c>
    </row>
    <row r="15" spans="1:15" s="242" customFormat="1" ht="15" customHeight="1">
      <c r="A15" s="252">
        <v>2</v>
      </c>
      <c r="B15" s="253">
        <v>1</v>
      </c>
      <c r="C15" s="253">
        <v>3</v>
      </c>
      <c r="D15" s="253">
        <v>2</v>
      </c>
      <c r="E15" s="384" t="s">
        <v>29</v>
      </c>
      <c r="F15" s="385"/>
      <c r="G15" s="254"/>
      <c r="H15" s="254"/>
      <c r="I15" s="254"/>
      <c r="J15" s="254"/>
      <c r="K15" s="255"/>
      <c r="L15" s="256"/>
      <c r="M15" s="256"/>
      <c r="N15" s="256"/>
      <c r="O15" s="308">
        <f>SUM(O16+O22+O29+O33)</f>
        <v>3529500</v>
      </c>
    </row>
    <row r="16" spans="1:15" s="242" customFormat="1" ht="15" customHeight="1">
      <c r="A16" s="257"/>
      <c r="B16" s="258"/>
      <c r="C16" s="258"/>
      <c r="D16" s="258"/>
      <c r="E16" s="322" t="s">
        <v>73</v>
      </c>
      <c r="F16" s="310"/>
      <c r="G16" s="323"/>
      <c r="H16" s="323"/>
      <c r="I16" s="323"/>
      <c r="J16" s="323"/>
      <c r="K16" s="324"/>
      <c r="L16" s="263"/>
      <c r="M16" s="263"/>
      <c r="N16" s="263"/>
      <c r="O16" s="264">
        <f>SUM(O17:O20)</f>
        <v>2400000</v>
      </c>
    </row>
    <row r="17" spans="1:15" s="242" customFormat="1" ht="15" customHeight="1">
      <c r="A17" s="257"/>
      <c r="B17" s="258"/>
      <c r="C17" s="258"/>
      <c r="D17" s="258"/>
      <c r="E17" s="310"/>
      <c r="F17" s="260" t="s">
        <v>49</v>
      </c>
      <c r="G17" s="265">
        <v>1</v>
      </c>
      <c r="H17" s="260" t="s">
        <v>17</v>
      </c>
      <c r="I17" s="265" t="s">
        <v>20</v>
      </c>
      <c r="J17" s="265">
        <v>3</v>
      </c>
      <c r="K17" s="266" t="s">
        <v>301</v>
      </c>
      <c r="L17" s="258">
        <f>G17*J17</f>
        <v>3</v>
      </c>
      <c r="M17" s="258" t="s">
        <v>180</v>
      </c>
      <c r="N17" s="267">
        <v>150000</v>
      </c>
      <c r="O17" s="270">
        <f>SUM(L17*N17)</f>
        <v>450000</v>
      </c>
    </row>
    <row r="18" spans="1:15" s="242" customFormat="1" ht="15" customHeight="1">
      <c r="A18" s="257"/>
      <c r="B18" s="258"/>
      <c r="C18" s="258"/>
      <c r="D18" s="258"/>
      <c r="E18" s="310"/>
      <c r="F18" s="260" t="s">
        <v>74</v>
      </c>
      <c r="G18" s="265">
        <v>1</v>
      </c>
      <c r="H18" s="260" t="s">
        <v>17</v>
      </c>
      <c r="I18" s="265" t="s">
        <v>20</v>
      </c>
      <c r="J18" s="265">
        <v>3</v>
      </c>
      <c r="K18" s="266" t="s">
        <v>301</v>
      </c>
      <c r="L18" s="258">
        <f>G18*J18</f>
        <v>3</v>
      </c>
      <c r="M18" s="258" t="s">
        <v>180</v>
      </c>
      <c r="N18" s="267">
        <v>130000</v>
      </c>
      <c r="O18" s="270">
        <f>SUM(L18*N18)</f>
        <v>390000</v>
      </c>
    </row>
    <row r="19" spans="1:15" s="242" customFormat="1" ht="15" customHeight="1">
      <c r="A19" s="257"/>
      <c r="B19" s="258"/>
      <c r="C19" s="258"/>
      <c r="D19" s="258"/>
      <c r="E19" s="310"/>
      <c r="F19" s="260" t="s">
        <v>66</v>
      </c>
      <c r="G19" s="265">
        <v>1</v>
      </c>
      <c r="H19" s="260" t="s">
        <v>17</v>
      </c>
      <c r="I19" s="265" t="s">
        <v>20</v>
      </c>
      <c r="J19" s="265">
        <v>3</v>
      </c>
      <c r="K19" s="266" t="s">
        <v>301</v>
      </c>
      <c r="L19" s="258">
        <f>G19*J19</f>
        <v>3</v>
      </c>
      <c r="M19" s="258" t="s">
        <v>180</v>
      </c>
      <c r="N19" s="267">
        <v>120000</v>
      </c>
      <c r="O19" s="270">
        <f>SUM(L19*N19)</f>
        <v>360000</v>
      </c>
    </row>
    <row r="20" spans="1:15" s="242" customFormat="1" ht="15" customHeight="1">
      <c r="A20" s="257"/>
      <c r="B20" s="258"/>
      <c r="C20" s="258"/>
      <c r="D20" s="258"/>
      <c r="E20" s="310"/>
      <c r="F20" s="260" t="s">
        <v>50</v>
      </c>
      <c r="G20" s="265">
        <v>4</v>
      </c>
      <c r="H20" s="260" t="s">
        <v>17</v>
      </c>
      <c r="I20" s="265" t="s">
        <v>20</v>
      </c>
      <c r="J20" s="265">
        <v>3</v>
      </c>
      <c r="K20" s="266" t="s">
        <v>301</v>
      </c>
      <c r="L20" s="258">
        <f>G20*J20</f>
        <v>12</v>
      </c>
      <c r="M20" s="258" t="s">
        <v>180</v>
      </c>
      <c r="N20" s="267">
        <v>100000</v>
      </c>
      <c r="O20" s="270">
        <f>SUM(L20*N20)</f>
        <v>1200000</v>
      </c>
    </row>
    <row r="21" spans="1:15" s="242" customFormat="1" ht="15" customHeight="1">
      <c r="A21" s="257"/>
      <c r="B21" s="258"/>
      <c r="C21" s="258"/>
      <c r="D21" s="258"/>
      <c r="E21" s="310"/>
      <c r="F21" s="310"/>
      <c r="G21" s="323"/>
      <c r="H21" s="323"/>
      <c r="I21" s="323"/>
      <c r="J21" s="323"/>
      <c r="K21" s="324"/>
      <c r="L21" s="263"/>
      <c r="M21" s="263"/>
      <c r="N21" s="263"/>
      <c r="O21" s="264"/>
    </row>
    <row r="22" spans="1:15" s="242" customFormat="1" ht="15" customHeight="1">
      <c r="A22" s="257"/>
      <c r="B22" s="258"/>
      <c r="C22" s="258"/>
      <c r="D22" s="258"/>
      <c r="E22" s="259" t="s">
        <v>14</v>
      </c>
      <c r="F22" s="310" t="s">
        <v>30</v>
      </c>
      <c r="G22" s="260"/>
      <c r="H22" s="260"/>
      <c r="I22" s="260"/>
      <c r="J22" s="260"/>
      <c r="K22" s="262"/>
      <c r="L22" s="263"/>
      <c r="M22" s="263"/>
      <c r="N22" s="263"/>
      <c r="O22" s="264">
        <f>SUM(O23:O27)</f>
        <v>294500</v>
      </c>
    </row>
    <row r="23" spans="1:15" s="242" customFormat="1" ht="15" customHeight="1">
      <c r="A23" s="257"/>
      <c r="B23" s="258"/>
      <c r="C23" s="258"/>
      <c r="D23" s="258"/>
      <c r="E23" s="265"/>
      <c r="F23" s="260" t="s">
        <v>31</v>
      </c>
      <c r="G23" s="265"/>
      <c r="H23" s="265"/>
      <c r="I23" s="265"/>
      <c r="J23" s="265"/>
      <c r="K23" s="266"/>
      <c r="L23" s="258">
        <v>3</v>
      </c>
      <c r="M23" s="258" t="s">
        <v>191</v>
      </c>
      <c r="N23" s="267">
        <v>49000</v>
      </c>
      <c r="O23" s="267">
        <f>SUM(L23*N23)</f>
        <v>147000</v>
      </c>
    </row>
    <row r="24" spans="1:15" s="242" customFormat="1" ht="15" customHeight="1">
      <c r="A24" s="257"/>
      <c r="B24" s="258"/>
      <c r="C24" s="258"/>
      <c r="D24" s="258"/>
      <c r="E24" s="265"/>
      <c r="F24" s="260" t="s">
        <v>32</v>
      </c>
      <c r="G24" s="265"/>
      <c r="H24" s="265"/>
      <c r="I24" s="265"/>
      <c r="J24" s="265"/>
      <c r="K24" s="266"/>
      <c r="L24" s="258">
        <v>2</v>
      </c>
      <c r="M24" s="258" t="s">
        <v>53</v>
      </c>
      <c r="N24" s="267">
        <v>15000</v>
      </c>
      <c r="O24" s="267">
        <f>SUM(L24*N24)</f>
        <v>30000</v>
      </c>
    </row>
    <row r="25" spans="1:15" s="242" customFormat="1" ht="15" customHeight="1">
      <c r="A25" s="257"/>
      <c r="B25" s="258"/>
      <c r="C25" s="258"/>
      <c r="D25" s="258"/>
      <c r="E25" s="265"/>
      <c r="F25" s="260" t="s">
        <v>471</v>
      </c>
      <c r="G25" s="260"/>
      <c r="H25" s="260"/>
      <c r="I25" s="260"/>
      <c r="J25" s="260"/>
      <c r="K25" s="262"/>
      <c r="L25" s="258">
        <v>2</v>
      </c>
      <c r="M25" s="258" t="s">
        <v>53</v>
      </c>
      <c r="N25" s="267">
        <v>22500</v>
      </c>
      <c r="O25" s="267">
        <f>SUM(L25*N25)</f>
        <v>45000</v>
      </c>
    </row>
    <row r="26" spans="1:15" s="242" customFormat="1" ht="15" customHeight="1">
      <c r="A26" s="257"/>
      <c r="B26" s="258"/>
      <c r="C26" s="258"/>
      <c r="D26" s="258"/>
      <c r="E26" s="259"/>
      <c r="F26" s="260" t="s">
        <v>34</v>
      </c>
      <c r="G26" s="260"/>
      <c r="H26" s="260"/>
      <c r="I26" s="260"/>
      <c r="J26" s="260"/>
      <c r="K26" s="262"/>
      <c r="L26" s="258">
        <v>2</v>
      </c>
      <c r="M26" s="258" t="s">
        <v>55</v>
      </c>
      <c r="N26" s="267">
        <v>22500</v>
      </c>
      <c r="O26" s="267">
        <f>SUM(L26*N26)</f>
        <v>45000</v>
      </c>
    </row>
    <row r="27" spans="1:15" s="242" customFormat="1" ht="15" customHeight="1">
      <c r="A27" s="257"/>
      <c r="B27" s="258"/>
      <c r="C27" s="258"/>
      <c r="D27" s="258"/>
      <c r="E27" s="259"/>
      <c r="F27" s="260" t="s">
        <v>465</v>
      </c>
      <c r="G27" s="260"/>
      <c r="H27" s="260"/>
      <c r="I27" s="260"/>
      <c r="J27" s="260"/>
      <c r="K27" s="262"/>
      <c r="L27" s="258">
        <v>1</v>
      </c>
      <c r="M27" s="258" t="s">
        <v>35</v>
      </c>
      <c r="N27" s="267">
        <v>27500</v>
      </c>
      <c r="O27" s="267">
        <f>SUM(L27*N27)</f>
        <v>27500</v>
      </c>
    </row>
    <row r="28" spans="1:15" s="242" customFormat="1" ht="15" customHeight="1">
      <c r="A28" s="257"/>
      <c r="B28" s="258"/>
      <c r="C28" s="258"/>
      <c r="D28" s="258"/>
      <c r="E28" s="259"/>
      <c r="F28" s="260"/>
      <c r="G28" s="260"/>
      <c r="H28" s="260"/>
      <c r="I28" s="265"/>
      <c r="J28" s="265"/>
      <c r="K28" s="266"/>
      <c r="L28" s="258"/>
      <c r="M28" s="258"/>
      <c r="N28" s="267"/>
      <c r="O28" s="270"/>
    </row>
    <row r="29" spans="1:15" s="242" customFormat="1" ht="15" customHeight="1">
      <c r="A29" s="319"/>
      <c r="B29" s="314"/>
      <c r="C29" s="314"/>
      <c r="D29" s="314"/>
      <c r="E29" s="312" t="s">
        <v>14</v>
      </c>
      <c r="F29" s="261" t="s">
        <v>70</v>
      </c>
      <c r="G29" s="261"/>
      <c r="H29" s="261"/>
      <c r="I29" s="312"/>
      <c r="J29" s="312"/>
      <c r="K29" s="313"/>
      <c r="L29" s="314"/>
      <c r="M29" s="314"/>
      <c r="N29" s="320"/>
      <c r="O29" s="264">
        <f>SUM(O30:O31)</f>
        <v>735000</v>
      </c>
    </row>
    <row r="30" spans="1:15" s="242" customFormat="1" ht="15" customHeight="1">
      <c r="A30" s="257"/>
      <c r="B30" s="258"/>
      <c r="C30" s="258"/>
      <c r="D30" s="258"/>
      <c r="E30" s="265"/>
      <c r="F30" s="260" t="s">
        <v>52</v>
      </c>
      <c r="G30" s="265">
        <v>7</v>
      </c>
      <c r="H30" s="260" t="s">
        <v>17</v>
      </c>
      <c r="I30" s="265" t="s">
        <v>20</v>
      </c>
      <c r="J30" s="265">
        <v>3</v>
      </c>
      <c r="K30" s="266" t="s">
        <v>212</v>
      </c>
      <c r="L30" s="258">
        <f>G30*J30</f>
        <v>21</v>
      </c>
      <c r="M30" s="258" t="s">
        <v>53</v>
      </c>
      <c r="N30" s="267">
        <v>25000</v>
      </c>
      <c r="O30" s="270">
        <f>L30*N30</f>
        <v>525000</v>
      </c>
    </row>
    <row r="31" spans="1:15" s="242" customFormat="1" ht="15" customHeight="1">
      <c r="A31" s="257"/>
      <c r="B31" s="258"/>
      <c r="C31" s="258"/>
      <c r="D31" s="258"/>
      <c r="E31" s="259"/>
      <c r="F31" s="260" t="s">
        <v>54</v>
      </c>
      <c r="G31" s="265">
        <v>7</v>
      </c>
      <c r="H31" s="260" t="s">
        <v>17</v>
      </c>
      <c r="I31" s="265" t="s">
        <v>20</v>
      </c>
      <c r="J31" s="265">
        <v>3</v>
      </c>
      <c r="K31" s="266" t="s">
        <v>212</v>
      </c>
      <c r="L31" s="258">
        <f>G31*J31</f>
        <v>21</v>
      </c>
      <c r="M31" s="258" t="s">
        <v>53</v>
      </c>
      <c r="N31" s="267">
        <v>10000</v>
      </c>
      <c r="O31" s="270">
        <f>L31*N31</f>
        <v>210000</v>
      </c>
    </row>
    <row r="32" spans="1:15" s="242" customFormat="1" ht="15" customHeight="1">
      <c r="A32" s="257"/>
      <c r="B32" s="258"/>
      <c r="C32" s="258"/>
      <c r="D32" s="258"/>
      <c r="E32" s="259"/>
      <c r="F32" s="260"/>
      <c r="G32" s="260"/>
      <c r="H32" s="260"/>
      <c r="I32" s="265"/>
      <c r="J32" s="265"/>
      <c r="K32" s="266"/>
      <c r="L32" s="258"/>
      <c r="M32" s="258"/>
      <c r="N32" s="267"/>
      <c r="O32" s="270"/>
    </row>
    <row r="33" spans="1:15" s="242" customFormat="1" ht="15" customHeight="1">
      <c r="A33" s="257"/>
      <c r="B33" s="258"/>
      <c r="C33" s="258"/>
      <c r="D33" s="258"/>
      <c r="E33" s="259" t="s">
        <v>14</v>
      </c>
      <c r="F33" s="261" t="s">
        <v>68</v>
      </c>
      <c r="G33" s="260"/>
      <c r="H33" s="260"/>
      <c r="I33" s="265"/>
      <c r="J33" s="265"/>
      <c r="K33" s="266"/>
      <c r="L33" s="258"/>
      <c r="M33" s="258"/>
      <c r="N33" s="267"/>
      <c r="O33" s="264">
        <f>SUM(O34:O35)</f>
        <v>100000</v>
      </c>
    </row>
    <row r="34" spans="1:15" s="242" customFormat="1" ht="15" customHeight="1">
      <c r="A34" s="257"/>
      <c r="B34" s="258"/>
      <c r="C34" s="258"/>
      <c r="D34" s="258"/>
      <c r="E34" s="265"/>
      <c r="F34" s="260" t="s">
        <v>69</v>
      </c>
      <c r="G34" s="260"/>
      <c r="H34" s="260"/>
      <c r="I34" s="265"/>
      <c r="J34" s="265"/>
      <c r="K34" s="266"/>
      <c r="L34" s="258">
        <v>250</v>
      </c>
      <c r="M34" s="258" t="s">
        <v>297</v>
      </c>
      <c r="N34" s="267">
        <v>300</v>
      </c>
      <c r="O34" s="270">
        <f>SUM(L34*N34)</f>
        <v>75000</v>
      </c>
    </row>
    <row r="35" spans="1:15" s="242" customFormat="1" ht="15" customHeight="1">
      <c r="A35" s="326"/>
      <c r="B35" s="327"/>
      <c r="C35" s="327"/>
      <c r="D35" s="327"/>
      <c r="E35" s="330"/>
      <c r="F35" s="329" t="s">
        <v>196</v>
      </c>
      <c r="G35" s="329"/>
      <c r="H35" s="329"/>
      <c r="I35" s="330"/>
      <c r="J35" s="330"/>
      <c r="K35" s="331"/>
      <c r="L35" s="327">
        <v>5</v>
      </c>
      <c r="M35" s="327" t="s">
        <v>176</v>
      </c>
      <c r="N35" s="332">
        <v>5000</v>
      </c>
      <c r="O35" s="333">
        <f>L35*N35</f>
        <v>25000</v>
      </c>
    </row>
    <row r="36" spans="1:15" s="242" customFormat="1" ht="15" customHeight="1">
      <c r="A36" s="326"/>
      <c r="B36" s="327"/>
      <c r="C36" s="327"/>
      <c r="D36" s="327"/>
      <c r="E36" s="330"/>
      <c r="F36" s="329"/>
      <c r="G36" s="329"/>
      <c r="H36" s="329"/>
      <c r="I36" s="330"/>
      <c r="J36" s="330"/>
      <c r="K36" s="331"/>
      <c r="L36" s="327"/>
      <c r="M36" s="327"/>
      <c r="N36" s="332"/>
      <c r="O36" s="333"/>
    </row>
    <row r="37" spans="1:15" s="242" customFormat="1" ht="15" customHeight="1">
      <c r="A37" s="279"/>
      <c r="B37" s="348"/>
      <c r="C37" s="348"/>
      <c r="D37" s="348"/>
      <c r="E37" s="848" t="s">
        <v>163</v>
      </c>
      <c r="F37" s="849"/>
      <c r="G37" s="849"/>
      <c r="H37" s="849"/>
      <c r="I37" s="849"/>
      <c r="J37" s="849"/>
      <c r="K37" s="850"/>
      <c r="L37" s="386"/>
      <c r="M37" s="348"/>
      <c r="N37" s="349"/>
      <c r="O37" s="350">
        <f>SUM(O33+O22+O16)+O29</f>
        <v>3529500</v>
      </c>
    </row>
    <row r="38" spans="1:15" s="242" customFormat="1" ht="16.5">
      <c r="A38" s="367"/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87"/>
    </row>
    <row r="39" spans="1:15" s="242" customFormat="1" ht="16.5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5"/>
    </row>
    <row r="40" spans="1:15" s="242" customFormat="1" ht="16.5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 t="s">
        <v>552</v>
      </c>
      <c r="O40" s="285"/>
    </row>
    <row r="41" spans="1:15" s="242" customFormat="1" ht="16.5">
      <c r="A41" s="283"/>
      <c r="B41" s="284"/>
      <c r="C41" s="284"/>
      <c r="D41" s="284"/>
      <c r="E41" s="284"/>
      <c r="F41" s="286" t="s">
        <v>168</v>
      </c>
      <c r="G41" s="284"/>
      <c r="H41" s="284"/>
      <c r="I41" s="284"/>
      <c r="J41" s="284"/>
      <c r="K41" s="284"/>
      <c r="L41" s="284"/>
      <c r="M41" s="284"/>
      <c r="N41" s="298" t="s">
        <v>193</v>
      </c>
      <c r="O41" s="285"/>
    </row>
    <row r="42" spans="1:15" s="242" customFormat="1" ht="16.5">
      <c r="A42" s="283"/>
      <c r="B42" s="284"/>
      <c r="C42" s="284"/>
      <c r="D42" s="284"/>
      <c r="E42" s="284"/>
      <c r="F42" s="286" t="s">
        <v>303</v>
      </c>
      <c r="G42" s="284"/>
      <c r="H42" s="284"/>
      <c r="I42" s="284"/>
      <c r="J42" s="284"/>
      <c r="K42" s="284"/>
      <c r="L42" s="284"/>
      <c r="M42" s="284"/>
      <c r="N42" s="284"/>
      <c r="O42" s="285"/>
    </row>
    <row r="43" spans="1:15" s="242" customFormat="1" ht="16.5">
      <c r="A43" s="283"/>
      <c r="B43" s="284"/>
      <c r="C43" s="284"/>
      <c r="D43" s="284"/>
      <c r="E43" s="284"/>
      <c r="F43" s="286"/>
      <c r="G43" s="284"/>
      <c r="H43" s="284"/>
      <c r="I43" s="284"/>
      <c r="J43" s="284"/>
      <c r="K43" s="284"/>
      <c r="L43" s="284"/>
      <c r="M43" s="284"/>
      <c r="N43" s="284"/>
      <c r="O43" s="285"/>
    </row>
    <row r="44" spans="1:15" s="242" customFormat="1" ht="16.5">
      <c r="A44" s="283"/>
      <c r="B44" s="284"/>
      <c r="C44" s="284"/>
      <c r="D44" s="284"/>
      <c r="E44" s="284"/>
      <c r="F44" s="286"/>
      <c r="G44" s="284"/>
      <c r="H44" s="284"/>
      <c r="I44" s="284"/>
      <c r="J44" s="284"/>
      <c r="K44" s="284"/>
      <c r="L44" s="284"/>
      <c r="M44" s="284"/>
      <c r="N44" s="284"/>
      <c r="O44" s="285"/>
    </row>
    <row r="45" spans="1:15" s="242" customFormat="1" ht="16.5">
      <c r="A45" s="283"/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5"/>
    </row>
    <row r="46" spans="1:15" s="242" customFormat="1" ht="16.5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5"/>
    </row>
    <row r="47" spans="1:15" s="242" customFormat="1" ht="16.5">
      <c r="A47" s="283"/>
      <c r="B47" s="284"/>
      <c r="C47" s="284"/>
      <c r="D47" s="284"/>
      <c r="E47" s="284"/>
      <c r="F47" s="303" t="s">
        <v>304</v>
      </c>
      <c r="G47" s="284"/>
      <c r="H47" s="284"/>
      <c r="I47" s="284"/>
      <c r="J47" s="284"/>
      <c r="K47" s="284"/>
      <c r="L47" s="284"/>
      <c r="M47" s="284"/>
      <c r="N47" s="381" t="s">
        <v>551</v>
      </c>
      <c r="O47" s="285"/>
    </row>
    <row r="48" spans="1:15" s="242" customFormat="1" ht="16.5">
      <c r="A48" s="287"/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9"/>
    </row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2" customFormat="1" ht="16.5"/>
    <row r="143" s="242" customFormat="1" ht="16.5"/>
    <row r="144" s="242" customFormat="1" ht="16.5"/>
    <row r="145" s="242" customFormat="1" ht="16.5"/>
    <row r="146" s="242" customFormat="1" ht="16.5"/>
    <row r="147" s="242" customFormat="1" ht="16.5"/>
    <row r="148" s="242" customFormat="1" ht="16.5"/>
    <row r="149" s="242" customFormat="1" ht="16.5"/>
    <row r="150" s="242" customFormat="1" ht="16.5"/>
    <row r="151" s="242" customFormat="1" ht="16.5"/>
    <row r="152" s="242" customFormat="1" ht="16.5"/>
    <row r="153" s="242" customFormat="1" ht="16.5"/>
    <row r="154" s="242" customFormat="1" ht="16.5"/>
    <row r="155" s="242" customFormat="1" ht="16.5"/>
    <row r="156" s="242" customFormat="1" ht="16.5"/>
    <row r="157" s="242" customFormat="1" ht="16.5"/>
    <row r="158" s="242" customFormat="1" ht="16.5"/>
    <row r="159" s="242" customFormat="1" ht="16.5"/>
    <row r="160" s="242" customFormat="1" ht="16.5"/>
    <row r="161" s="242" customFormat="1" ht="16.5"/>
    <row r="162" s="242" customFormat="1" ht="16.5"/>
    <row r="163" s="242" customFormat="1" ht="16.5"/>
    <row r="164" s="242" customFormat="1" ht="16.5"/>
    <row r="165" s="242" customFormat="1" ht="16.5"/>
    <row r="166" s="242" customFormat="1" ht="16.5"/>
    <row r="167" s="242" customFormat="1" ht="16.5"/>
    <row r="168" s="242" customFormat="1" ht="16.5"/>
    <row r="169" s="242" customFormat="1" ht="16.5"/>
    <row r="170" s="242" customFormat="1" ht="16.5"/>
    <row r="171" s="242" customFormat="1" ht="16.5"/>
    <row r="172" s="242" customFormat="1" ht="16.5"/>
    <row r="173" s="242" customFormat="1" ht="16.5"/>
    <row r="174" s="242" customFormat="1" ht="16.5"/>
    <row r="175" s="242" customFormat="1" ht="16.5"/>
    <row r="176" s="242" customFormat="1" ht="16.5"/>
    <row r="177" s="242" customFormat="1" ht="16.5"/>
    <row r="178" s="242" customFormat="1" ht="16.5"/>
    <row r="179" s="242" customFormat="1" ht="16.5"/>
    <row r="180" s="242" customFormat="1" ht="16.5"/>
    <row r="181" s="242" customFormat="1" ht="16.5"/>
    <row r="182" s="242" customFormat="1" ht="16.5"/>
    <row r="183" s="242" customFormat="1" ht="16.5"/>
    <row r="184" s="242" customFormat="1" ht="16.5"/>
    <row r="185" s="242" customFormat="1" ht="16.5"/>
    <row r="186" s="242" customFormat="1" ht="16.5"/>
    <row r="187" s="242" customFormat="1" ht="16.5"/>
    <row r="188" s="242" customFormat="1" ht="16.5"/>
    <row r="189" s="242" customFormat="1" ht="16.5"/>
    <row r="190" s="242" customFormat="1" ht="16.5"/>
    <row r="191" s="242" customFormat="1" ht="16.5"/>
    <row r="192" s="242" customFormat="1" ht="16.5"/>
    <row r="193" s="242" customFormat="1" ht="16.5"/>
    <row r="194" s="242" customFormat="1" ht="16.5"/>
    <row r="195" s="242" customFormat="1" ht="16.5"/>
    <row r="196" s="242" customFormat="1" ht="16.5"/>
    <row r="197" s="242" customFormat="1" ht="16.5"/>
    <row r="198" s="242" customFormat="1" ht="16.5"/>
    <row r="199" s="242" customFormat="1" ht="16.5"/>
    <row r="200" s="242" customFormat="1" ht="16.5"/>
    <row r="201" s="242" customFormat="1" ht="16.5"/>
    <row r="202" s="242" customFormat="1" ht="16.5"/>
    <row r="203" s="242" customFormat="1" ht="16.5"/>
    <row r="204" s="242" customFormat="1" ht="16.5"/>
    <row r="205" s="242" customFormat="1" ht="16.5"/>
    <row r="206" s="242" customFormat="1" ht="16.5"/>
    <row r="207" s="242" customFormat="1" ht="16.5"/>
    <row r="208" s="242" customFormat="1" ht="16.5"/>
    <row r="209" s="242" customFormat="1" ht="16.5"/>
    <row r="210" s="242" customFormat="1" ht="16.5"/>
    <row r="211" s="242" customFormat="1" ht="16.5"/>
    <row r="212" s="242" customFormat="1" ht="16.5"/>
    <row r="213" s="242" customFormat="1" ht="16.5"/>
    <row r="214" s="242" customFormat="1" ht="16.5"/>
    <row r="215" s="242" customFormat="1" ht="16.5"/>
    <row r="216" s="242" customFormat="1" ht="16.5"/>
    <row r="217" s="242" customFormat="1" ht="16.5"/>
    <row r="218" s="242" customFormat="1" ht="16.5"/>
    <row r="219" s="242" customFormat="1" ht="16.5"/>
    <row r="220" s="242" customFormat="1" ht="16.5"/>
    <row r="221" s="242" customFormat="1" ht="16.5"/>
    <row r="222" s="28" customFormat="1"/>
    <row r="223" s="28" customFormat="1"/>
    <row r="224" s="28" customFormat="1"/>
    <row r="225" s="28" customFormat="1"/>
  </sheetData>
  <mergeCells count="12">
    <mergeCell ref="E37:K37"/>
    <mergeCell ref="A1:O1"/>
    <mergeCell ref="A2:O2"/>
    <mergeCell ref="A3:O3"/>
    <mergeCell ref="H5:O5"/>
    <mergeCell ref="H7:O7"/>
    <mergeCell ref="O12:O13"/>
    <mergeCell ref="M12:M13"/>
    <mergeCell ref="A12:D13"/>
    <mergeCell ref="A14:D14"/>
    <mergeCell ref="E12:K13"/>
    <mergeCell ref="L12:L13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S210"/>
  <sheetViews>
    <sheetView zoomScaleSheetLayoutView="90" workbookViewId="0">
      <selection activeCell="Q17" sqref="Q17"/>
    </sheetView>
  </sheetViews>
  <sheetFormatPr defaultRowHeight="15"/>
  <cols>
    <col min="1" max="1" width="2.5703125" customWidth="1"/>
    <col min="2" max="3" width="3.28515625" customWidth="1"/>
    <col min="4" max="4" width="3" customWidth="1"/>
    <col min="5" max="5" width="1.140625" customWidth="1"/>
    <col min="6" max="6" width="21.140625" customWidth="1"/>
    <col min="7" max="7" width="3" customWidth="1"/>
    <col min="8" max="8" width="4.42578125" customWidth="1"/>
    <col min="9" max="9" width="3.140625" customWidth="1"/>
    <col min="10" max="10" width="3.85546875" customWidth="1"/>
    <col min="11" max="11" width="4.85546875" customWidth="1"/>
    <col min="12" max="12" width="8" customWidth="1"/>
    <col min="13" max="13" width="7.28515625" customWidth="1"/>
    <col min="14" max="14" width="13.5703125" customWidth="1"/>
    <col min="15" max="15" width="14.85546875" customWidth="1"/>
    <col min="17" max="17" width="15.5703125" customWidth="1"/>
    <col min="18" max="18" width="10" bestFit="1" customWidth="1"/>
    <col min="19" max="19" width="14.28515625" bestFit="1" customWidth="1"/>
  </cols>
  <sheetData>
    <row r="1" spans="1:17" s="242" customFormat="1" ht="18.75">
      <c r="A1" s="853" t="s">
        <v>6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5"/>
    </row>
    <row r="2" spans="1:17" s="242" customFormat="1" ht="17.25">
      <c r="A2" s="856" t="s">
        <v>292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8"/>
    </row>
    <row r="3" spans="1:17" s="242" customFormat="1" ht="16.5">
      <c r="A3" s="859" t="s">
        <v>211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1"/>
    </row>
    <row r="4" spans="1:17" s="242" customFormat="1" ht="16.5">
      <c r="A4" s="283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94"/>
    </row>
    <row r="5" spans="1:17" s="242" customFormat="1" ht="16.5">
      <c r="A5" s="283" t="s">
        <v>7</v>
      </c>
      <c r="B5" s="295" t="s">
        <v>10</v>
      </c>
      <c r="C5" s="295"/>
      <c r="D5" s="295"/>
      <c r="E5" s="295"/>
      <c r="F5" s="295"/>
      <c r="G5" s="286" t="s">
        <v>12</v>
      </c>
      <c r="H5" s="851" t="s">
        <v>302</v>
      </c>
      <c r="I5" s="851"/>
      <c r="J5" s="851"/>
      <c r="K5" s="851"/>
      <c r="L5" s="851"/>
      <c r="M5" s="851"/>
      <c r="N5" s="851"/>
      <c r="O5" s="852"/>
    </row>
    <row r="6" spans="1:17" s="242" customFormat="1" ht="16.5">
      <c r="A6" s="283" t="s">
        <v>8</v>
      </c>
      <c r="B6" s="295" t="s">
        <v>11</v>
      </c>
      <c r="C6" s="295"/>
      <c r="D6" s="295"/>
      <c r="E6" s="295"/>
      <c r="F6" s="295"/>
      <c r="G6" s="286" t="s">
        <v>12</v>
      </c>
      <c r="H6" s="295" t="s">
        <v>222</v>
      </c>
      <c r="I6" s="295"/>
      <c r="J6" s="295"/>
      <c r="K6" s="295"/>
      <c r="L6" s="295"/>
      <c r="M6" s="295"/>
      <c r="N6" s="295"/>
      <c r="O6" s="296"/>
    </row>
    <row r="7" spans="1:17" s="242" customFormat="1" ht="16.5">
      <c r="A7" s="283" t="s">
        <v>9</v>
      </c>
      <c r="B7" s="295" t="s">
        <v>22</v>
      </c>
      <c r="C7" s="295"/>
      <c r="D7" s="295"/>
      <c r="E7" s="295"/>
      <c r="F7" s="295"/>
      <c r="G7" s="286" t="s">
        <v>12</v>
      </c>
      <c r="H7" s="851" t="s">
        <v>76</v>
      </c>
      <c r="I7" s="851"/>
      <c r="J7" s="851"/>
      <c r="K7" s="851"/>
      <c r="L7" s="851"/>
      <c r="M7" s="851"/>
      <c r="N7" s="851"/>
      <c r="O7" s="852"/>
    </row>
    <row r="8" spans="1:17" s="242" customFormat="1" ht="16.5">
      <c r="A8" s="297" t="s">
        <v>312</v>
      </c>
      <c r="B8" s="295" t="s">
        <v>216</v>
      </c>
      <c r="C8" s="295"/>
      <c r="D8" s="295"/>
      <c r="E8" s="295"/>
      <c r="F8" s="286"/>
      <c r="G8" s="286" t="s">
        <v>12</v>
      </c>
      <c r="H8" s="298" t="s">
        <v>288</v>
      </c>
      <c r="I8" s="298"/>
      <c r="J8" s="298"/>
      <c r="K8" s="298"/>
      <c r="L8" s="298"/>
      <c r="M8" s="298"/>
      <c r="N8" s="298"/>
      <c r="O8" s="299"/>
    </row>
    <row r="9" spans="1:17" s="242" customFormat="1" ht="4.5" customHeight="1">
      <c r="A9" s="283"/>
      <c r="B9" s="295"/>
      <c r="C9" s="295"/>
      <c r="D9" s="295"/>
      <c r="E9" s="295"/>
      <c r="F9" s="286"/>
      <c r="G9" s="286"/>
      <c r="H9" s="298"/>
      <c r="I9" s="298"/>
      <c r="J9" s="298"/>
      <c r="K9" s="298"/>
      <c r="L9" s="298"/>
      <c r="M9" s="298"/>
      <c r="N9" s="298"/>
      <c r="O9" s="299"/>
    </row>
    <row r="10" spans="1:17" s="243" customFormat="1" ht="12.75">
      <c r="A10" s="394" t="s">
        <v>221</v>
      </c>
      <c r="B10" s="430"/>
      <c r="C10" s="430"/>
      <c r="D10" s="430"/>
      <c r="E10" s="430"/>
      <c r="F10" s="382"/>
      <c r="G10" s="382"/>
      <c r="H10" s="397"/>
      <c r="I10" s="397"/>
      <c r="J10" s="397"/>
      <c r="K10" s="397"/>
      <c r="L10" s="397"/>
      <c r="M10" s="397"/>
      <c r="N10" s="397"/>
      <c r="O10" s="398"/>
    </row>
    <row r="11" spans="1:17" s="242" customFormat="1" ht="4.5" customHeight="1">
      <c r="A11" s="283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5"/>
    </row>
    <row r="12" spans="1:17" s="243" customFormat="1" ht="12.75">
      <c r="A12" s="775" t="s">
        <v>0</v>
      </c>
      <c r="B12" s="776"/>
      <c r="C12" s="776"/>
      <c r="D12" s="777"/>
      <c r="E12" s="775" t="s">
        <v>1</v>
      </c>
      <c r="F12" s="776"/>
      <c r="G12" s="776"/>
      <c r="H12" s="776"/>
      <c r="I12" s="776"/>
      <c r="J12" s="776"/>
      <c r="K12" s="777"/>
      <c r="L12" s="780" t="s">
        <v>2</v>
      </c>
      <c r="M12" s="780" t="s">
        <v>47</v>
      </c>
      <c r="N12" s="290" t="s">
        <v>4</v>
      </c>
      <c r="O12" s="780" t="s">
        <v>3</v>
      </c>
    </row>
    <row r="13" spans="1:17" s="243" customFormat="1" ht="12.75">
      <c r="A13" s="863"/>
      <c r="B13" s="778"/>
      <c r="C13" s="778"/>
      <c r="D13" s="779"/>
      <c r="E13" s="863"/>
      <c r="F13" s="778"/>
      <c r="G13" s="778"/>
      <c r="H13" s="778"/>
      <c r="I13" s="778"/>
      <c r="J13" s="778"/>
      <c r="K13" s="779"/>
      <c r="L13" s="781"/>
      <c r="M13" s="781"/>
      <c r="N13" s="291" t="s">
        <v>5</v>
      </c>
      <c r="O13" s="781"/>
    </row>
    <row r="14" spans="1:17" s="237" customFormat="1" ht="13.5">
      <c r="A14" s="864">
        <v>1</v>
      </c>
      <c r="B14" s="865"/>
      <c r="C14" s="865"/>
      <c r="D14" s="866"/>
      <c r="E14" s="238"/>
      <c r="F14" s="240">
        <v>2</v>
      </c>
      <c r="G14" s="240"/>
      <c r="H14" s="240"/>
      <c r="I14" s="240"/>
      <c r="J14" s="240"/>
      <c r="K14" s="241"/>
      <c r="L14" s="239">
        <v>3</v>
      </c>
      <c r="M14" s="239"/>
      <c r="N14" s="239">
        <v>4</v>
      </c>
      <c r="O14" s="239">
        <v>5</v>
      </c>
    </row>
    <row r="15" spans="1:17" s="242" customFormat="1" ht="15" customHeight="1">
      <c r="A15" s="399">
        <v>2</v>
      </c>
      <c r="B15" s="400">
        <v>1</v>
      </c>
      <c r="C15" s="400">
        <v>4</v>
      </c>
      <c r="D15" s="400">
        <v>1</v>
      </c>
      <c r="E15" s="401" t="s">
        <v>29</v>
      </c>
      <c r="F15" s="402"/>
      <c r="G15" s="403"/>
      <c r="H15" s="403"/>
      <c r="I15" s="403"/>
      <c r="J15" s="403"/>
      <c r="K15" s="404"/>
      <c r="L15" s="405"/>
      <c r="M15" s="405"/>
      <c r="N15" s="405"/>
      <c r="O15" s="406">
        <f>O16</f>
        <v>13440000</v>
      </c>
      <c r="Q15" s="282">
        <f>SUM(Q16:Q17)</f>
        <v>5600000</v>
      </c>
    </row>
    <row r="16" spans="1:17" s="242" customFormat="1" ht="15" customHeight="1">
      <c r="A16" s="407"/>
      <c r="B16" s="408"/>
      <c r="C16" s="408"/>
      <c r="D16" s="408"/>
      <c r="E16" s="409" t="s">
        <v>472</v>
      </c>
      <c r="F16" s="410"/>
      <c r="G16" s="411"/>
      <c r="H16" s="411"/>
      <c r="I16" s="411"/>
      <c r="J16" s="411"/>
      <c r="K16" s="412"/>
      <c r="L16" s="413"/>
      <c r="M16" s="413"/>
      <c r="N16" s="413"/>
      <c r="O16" s="414">
        <f>SUM(O17:O20)</f>
        <v>13440000</v>
      </c>
      <c r="Q16" s="271">
        <f>G17*5*50000</f>
        <v>2000000</v>
      </c>
    </row>
    <row r="17" spans="1:19" s="242" customFormat="1" ht="15" customHeight="1">
      <c r="A17" s="407"/>
      <c r="B17" s="408"/>
      <c r="C17" s="408"/>
      <c r="D17" s="408"/>
      <c r="E17" s="410"/>
      <c r="F17" s="309" t="s">
        <v>207</v>
      </c>
      <c r="G17" s="415">
        <v>8</v>
      </c>
      <c r="H17" s="309" t="s">
        <v>17</v>
      </c>
      <c r="I17" s="415" t="s">
        <v>20</v>
      </c>
      <c r="J17" s="415">
        <v>12</v>
      </c>
      <c r="K17" s="416" t="s">
        <v>21</v>
      </c>
      <c r="L17" s="408">
        <f>G17*J17</f>
        <v>96</v>
      </c>
      <c r="M17" s="408" t="s">
        <v>39</v>
      </c>
      <c r="N17" s="417">
        <v>50000</v>
      </c>
      <c r="O17" s="418">
        <f>SUM(L17*N17)</f>
        <v>4800000</v>
      </c>
      <c r="Q17" s="271">
        <f>G18*5*45000</f>
        <v>3600000</v>
      </c>
    </row>
    <row r="18" spans="1:19" s="242" customFormat="1" ht="15" customHeight="1">
      <c r="A18" s="407"/>
      <c r="B18" s="408"/>
      <c r="C18" s="408"/>
      <c r="D18" s="408"/>
      <c r="E18" s="410"/>
      <c r="F18" s="309" t="s">
        <v>206</v>
      </c>
      <c r="G18" s="415">
        <v>16</v>
      </c>
      <c r="H18" s="309" t="s">
        <v>17</v>
      </c>
      <c r="I18" s="415" t="s">
        <v>20</v>
      </c>
      <c r="J18" s="415">
        <v>12</v>
      </c>
      <c r="K18" s="416" t="s">
        <v>21</v>
      </c>
      <c r="L18" s="408">
        <f>G18*J18</f>
        <v>192</v>
      </c>
      <c r="M18" s="408" t="s">
        <v>39</v>
      </c>
      <c r="N18" s="417">
        <v>45000</v>
      </c>
      <c r="O18" s="418">
        <f>SUM(L18*N18)</f>
        <v>8640000</v>
      </c>
      <c r="S18" s="271"/>
    </row>
    <row r="19" spans="1:19" s="242" customFormat="1" ht="15" customHeight="1">
      <c r="A19" s="407"/>
      <c r="B19" s="408"/>
      <c r="C19" s="408"/>
      <c r="D19" s="408"/>
      <c r="E19" s="410"/>
      <c r="F19" s="309"/>
      <c r="G19" s="415"/>
      <c r="H19" s="309"/>
      <c r="I19" s="415"/>
      <c r="J19" s="415"/>
      <c r="K19" s="416"/>
      <c r="L19" s="408"/>
      <c r="M19" s="408"/>
      <c r="N19" s="417"/>
      <c r="O19" s="418"/>
      <c r="S19" s="271"/>
    </row>
    <row r="20" spans="1:19" s="242" customFormat="1" ht="15" customHeight="1">
      <c r="A20" s="407"/>
      <c r="B20" s="408"/>
      <c r="C20" s="408"/>
      <c r="D20" s="408"/>
      <c r="E20" s="410"/>
      <c r="F20" s="309"/>
      <c r="G20" s="415"/>
      <c r="H20" s="309"/>
      <c r="I20" s="415"/>
      <c r="J20" s="415"/>
      <c r="K20" s="416"/>
      <c r="L20" s="408"/>
      <c r="M20" s="408"/>
      <c r="N20" s="417"/>
      <c r="O20" s="418"/>
      <c r="S20" s="282"/>
    </row>
    <row r="21" spans="1:19" s="242" customFormat="1" ht="15" customHeight="1">
      <c r="A21" s="419"/>
      <c r="B21" s="420"/>
      <c r="C21" s="420"/>
      <c r="D21" s="420"/>
      <c r="E21" s="421"/>
      <c r="F21" s="325"/>
      <c r="G21" s="325"/>
      <c r="H21" s="325"/>
      <c r="I21" s="421"/>
      <c r="J21" s="421"/>
      <c r="K21" s="422"/>
      <c r="L21" s="420"/>
      <c r="M21" s="420"/>
      <c r="N21" s="423"/>
      <c r="O21" s="424"/>
    </row>
    <row r="22" spans="1:19" s="242" customFormat="1" ht="15" customHeight="1">
      <c r="A22" s="425"/>
      <c r="B22" s="426"/>
      <c r="C22" s="426"/>
      <c r="D22" s="426"/>
      <c r="E22" s="760" t="s">
        <v>163</v>
      </c>
      <c r="F22" s="761"/>
      <c r="G22" s="761"/>
      <c r="H22" s="761"/>
      <c r="I22" s="761"/>
      <c r="J22" s="761"/>
      <c r="K22" s="764"/>
      <c r="L22" s="427"/>
      <c r="M22" s="426"/>
      <c r="N22" s="428"/>
      <c r="O22" s="429">
        <f>O15</f>
        <v>13440000</v>
      </c>
    </row>
    <row r="23" spans="1:19" s="242" customFormat="1" ht="16.5">
      <c r="A23" s="367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87"/>
    </row>
    <row r="24" spans="1:19" s="242" customFormat="1" ht="16.5">
      <c r="A24" s="283"/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5"/>
    </row>
    <row r="25" spans="1:19" s="242" customFormat="1" ht="16.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 t="s">
        <v>552</v>
      </c>
      <c r="O25" s="285"/>
    </row>
    <row r="26" spans="1:19" s="242" customFormat="1" ht="16.5">
      <c r="A26" s="283"/>
      <c r="B26" s="284"/>
      <c r="C26" s="284"/>
      <c r="D26" s="284"/>
      <c r="E26" s="284"/>
      <c r="F26" s="286" t="s">
        <v>168</v>
      </c>
      <c r="G26" s="284"/>
      <c r="H26" s="284"/>
      <c r="I26" s="284"/>
      <c r="J26" s="284"/>
      <c r="K26" s="284"/>
      <c r="L26" s="284"/>
      <c r="M26" s="284"/>
      <c r="N26" s="298" t="s">
        <v>193</v>
      </c>
      <c r="O26" s="285"/>
    </row>
    <row r="27" spans="1:19" s="242" customFormat="1" ht="16.5">
      <c r="A27" s="283"/>
      <c r="B27" s="284"/>
      <c r="C27" s="284"/>
      <c r="D27" s="284"/>
      <c r="E27" s="284"/>
      <c r="F27" s="286" t="s">
        <v>303</v>
      </c>
      <c r="G27" s="284"/>
      <c r="H27" s="284"/>
      <c r="I27" s="284"/>
      <c r="J27" s="284"/>
      <c r="K27" s="284"/>
      <c r="L27" s="284"/>
      <c r="M27" s="284"/>
      <c r="N27" s="284"/>
      <c r="O27" s="285"/>
    </row>
    <row r="28" spans="1:19" s="242" customFormat="1" ht="16.5">
      <c r="A28" s="283"/>
      <c r="B28" s="284"/>
      <c r="C28" s="284"/>
      <c r="D28" s="284"/>
      <c r="E28" s="284"/>
      <c r="F28" s="286"/>
      <c r="G28" s="284"/>
      <c r="H28" s="284"/>
      <c r="I28" s="284"/>
      <c r="J28" s="284"/>
      <c r="K28" s="284"/>
      <c r="L28" s="284"/>
      <c r="M28" s="284"/>
      <c r="N28" s="284"/>
      <c r="O28" s="285"/>
    </row>
    <row r="29" spans="1:19" s="242" customFormat="1" ht="16.5">
      <c r="A29" s="283"/>
      <c r="B29" s="284"/>
      <c r="C29" s="284"/>
      <c r="D29" s="284"/>
      <c r="E29" s="284"/>
      <c r="F29" s="286"/>
      <c r="G29" s="284"/>
      <c r="H29" s="284"/>
      <c r="I29" s="284"/>
      <c r="J29" s="284"/>
      <c r="K29" s="284"/>
      <c r="L29" s="284"/>
      <c r="M29" s="284"/>
      <c r="N29" s="284"/>
      <c r="O29" s="285"/>
    </row>
    <row r="30" spans="1:19" s="242" customFormat="1" ht="16.5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5"/>
    </row>
    <row r="31" spans="1:19" s="242" customFormat="1" ht="16.5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5"/>
    </row>
    <row r="32" spans="1:19" s="242" customFormat="1" ht="16.5">
      <c r="A32" s="283"/>
      <c r="B32" s="284"/>
      <c r="C32" s="284"/>
      <c r="D32" s="284"/>
      <c r="E32" s="284"/>
      <c r="F32" s="303" t="s">
        <v>304</v>
      </c>
      <c r="G32" s="284"/>
      <c r="H32" s="284"/>
      <c r="I32" s="284"/>
      <c r="J32" s="284"/>
      <c r="K32" s="284"/>
      <c r="L32" s="284"/>
      <c r="M32" s="284"/>
      <c r="N32" s="303" t="s">
        <v>551</v>
      </c>
      <c r="O32" s="285"/>
    </row>
    <row r="33" spans="1:15" s="242" customFormat="1" ht="16.5">
      <c r="A33" s="287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9"/>
    </row>
    <row r="34" spans="1:15" s="242" customFormat="1" ht="16.5"/>
    <row r="35" spans="1:15" s="242" customFormat="1" ht="16.5"/>
    <row r="36" spans="1:15" s="242" customFormat="1" ht="16.5"/>
    <row r="37" spans="1:15" s="242" customFormat="1" ht="16.5"/>
    <row r="38" spans="1:15" s="242" customFormat="1" ht="16.5"/>
    <row r="39" spans="1:15" s="242" customFormat="1" ht="16.5"/>
    <row r="40" spans="1:15" s="242" customFormat="1" ht="16.5"/>
    <row r="41" spans="1:15" s="242" customFormat="1" ht="16.5"/>
    <row r="42" spans="1:15" s="242" customFormat="1" ht="16.5"/>
    <row r="43" spans="1:15" s="242" customFormat="1" ht="16.5"/>
    <row r="44" spans="1:15" s="242" customFormat="1" ht="16.5"/>
    <row r="45" spans="1:15" s="242" customFormat="1" ht="16.5"/>
    <row r="46" spans="1:15" s="242" customFormat="1" ht="16.5"/>
    <row r="47" spans="1:15" s="242" customFormat="1" ht="16.5"/>
    <row r="48" spans="1:15" s="242" customFormat="1" ht="16.5"/>
    <row r="49" s="242" customFormat="1" ht="16.5"/>
    <row r="50" s="242" customFormat="1" ht="16.5"/>
    <row r="51" s="242" customFormat="1" ht="16.5"/>
    <row r="52" s="242" customFormat="1" ht="16.5"/>
    <row r="53" s="242" customFormat="1" ht="16.5"/>
    <row r="54" s="242" customFormat="1" ht="16.5"/>
    <row r="55" s="242" customFormat="1" ht="16.5"/>
    <row r="56" s="242" customFormat="1" ht="16.5"/>
    <row r="57" s="242" customFormat="1" ht="16.5"/>
    <row r="58" s="242" customFormat="1" ht="16.5"/>
    <row r="59" s="242" customFormat="1" ht="16.5"/>
    <row r="60" s="242" customFormat="1" ht="16.5"/>
    <row r="61" s="242" customFormat="1" ht="16.5"/>
    <row r="62" s="242" customFormat="1" ht="16.5"/>
    <row r="63" s="242" customFormat="1" ht="16.5"/>
    <row r="64" s="242" customFormat="1" ht="16.5"/>
    <row r="65" s="242" customFormat="1" ht="16.5"/>
    <row r="66" s="242" customFormat="1" ht="16.5"/>
    <row r="67" s="242" customFormat="1" ht="16.5"/>
    <row r="68" s="242" customFormat="1" ht="16.5"/>
    <row r="69" s="242" customFormat="1" ht="16.5"/>
    <row r="70" s="242" customFormat="1" ht="16.5"/>
    <row r="71" s="242" customFormat="1" ht="16.5"/>
    <row r="72" s="242" customFormat="1" ht="16.5"/>
    <row r="73" s="242" customFormat="1" ht="16.5"/>
    <row r="74" s="242" customFormat="1" ht="16.5"/>
    <row r="75" s="242" customFormat="1" ht="16.5"/>
    <row r="76" s="242" customFormat="1" ht="16.5"/>
    <row r="77" s="242" customFormat="1" ht="16.5"/>
    <row r="78" s="242" customFormat="1" ht="16.5"/>
    <row r="79" s="242" customFormat="1" ht="16.5"/>
    <row r="80" s="242" customFormat="1" ht="16.5"/>
    <row r="81" s="242" customFormat="1" ht="16.5"/>
    <row r="82" s="242" customFormat="1" ht="16.5"/>
    <row r="83" s="242" customFormat="1" ht="16.5"/>
    <row r="84" s="242" customFormat="1" ht="16.5"/>
    <row r="85" s="242" customFormat="1" ht="16.5"/>
    <row r="86" s="242" customFormat="1" ht="16.5"/>
    <row r="87" s="242" customFormat="1" ht="16.5"/>
    <row r="88" s="242" customFormat="1" ht="16.5"/>
    <row r="89" s="242" customFormat="1" ht="16.5"/>
    <row r="90" s="242" customFormat="1" ht="16.5"/>
    <row r="91" s="242" customFormat="1" ht="16.5"/>
    <row r="92" s="242" customFormat="1" ht="16.5"/>
    <row r="93" s="242" customFormat="1" ht="16.5"/>
    <row r="94" s="242" customFormat="1" ht="16.5"/>
    <row r="95" s="242" customFormat="1" ht="16.5"/>
    <row r="96" s="242" customFormat="1" ht="16.5"/>
    <row r="97" s="242" customFormat="1" ht="16.5"/>
    <row r="98" s="242" customFormat="1" ht="16.5"/>
    <row r="99" s="242" customFormat="1" ht="16.5"/>
    <row r="100" s="242" customFormat="1" ht="16.5"/>
    <row r="101" s="242" customFormat="1" ht="16.5"/>
    <row r="102" s="242" customFormat="1" ht="16.5"/>
    <row r="103" s="242" customFormat="1" ht="16.5"/>
    <row r="104" s="242" customFormat="1" ht="16.5"/>
    <row r="105" s="242" customFormat="1" ht="16.5"/>
    <row r="106" s="242" customFormat="1" ht="16.5"/>
    <row r="107" s="242" customFormat="1" ht="16.5"/>
    <row r="108" s="242" customFormat="1" ht="16.5"/>
    <row r="109" s="242" customFormat="1" ht="16.5"/>
    <row r="110" s="242" customFormat="1" ht="16.5"/>
    <row r="111" s="242" customFormat="1" ht="16.5"/>
    <row r="112" s="242" customFormat="1" ht="16.5"/>
    <row r="113" s="242" customFormat="1" ht="16.5"/>
    <row r="114" s="242" customFormat="1" ht="16.5"/>
    <row r="115" s="242" customFormat="1" ht="16.5"/>
    <row r="116" s="242" customFormat="1" ht="16.5"/>
    <row r="117" s="242" customFormat="1" ht="16.5"/>
    <row r="118" s="242" customFormat="1" ht="16.5"/>
    <row r="119" s="242" customFormat="1" ht="16.5"/>
    <row r="120" s="242" customFormat="1" ht="16.5"/>
    <row r="121" s="242" customFormat="1" ht="16.5"/>
    <row r="122" s="242" customFormat="1" ht="16.5"/>
    <row r="123" s="242" customFormat="1" ht="16.5"/>
    <row r="124" s="242" customFormat="1" ht="16.5"/>
    <row r="125" s="242" customFormat="1" ht="16.5"/>
    <row r="126" s="242" customFormat="1" ht="16.5"/>
    <row r="127" s="242" customFormat="1" ht="16.5"/>
    <row r="128" s="242" customFormat="1" ht="16.5"/>
    <row r="129" s="242" customFormat="1" ht="16.5"/>
    <row r="130" s="242" customFormat="1" ht="16.5"/>
    <row r="131" s="242" customFormat="1" ht="16.5"/>
    <row r="132" s="242" customFormat="1" ht="16.5"/>
    <row r="133" s="242" customFormat="1" ht="16.5"/>
    <row r="134" s="242" customFormat="1" ht="16.5"/>
    <row r="135" s="242" customFormat="1" ht="16.5"/>
    <row r="136" s="242" customFormat="1" ht="16.5"/>
    <row r="137" s="242" customFormat="1" ht="16.5"/>
    <row r="138" s="242" customFormat="1" ht="16.5"/>
    <row r="139" s="242" customFormat="1" ht="16.5"/>
    <row r="140" s="242" customFormat="1" ht="16.5"/>
    <row r="141" s="242" customFormat="1" ht="16.5"/>
    <row r="142" s="243" customFormat="1" ht="12.75"/>
    <row r="143" s="243" customFormat="1" ht="12.75"/>
    <row r="144" s="243" customFormat="1" ht="12.75"/>
    <row r="145" s="243" customFormat="1" ht="12.75"/>
    <row r="146" s="243" customFormat="1" ht="12.75"/>
    <row r="147" s="243" customFormat="1" ht="12.75"/>
    <row r="148" s="243" customFormat="1" ht="12.75"/>
    <row r="149" s="243" customFormat="1" ht="12.75"/>
    <row r="150" s="243" customFormat="1" ht="12.75"/>
    <row r="151" s="243" customFormat="1" ht="12.75"/>
    <row r="152" s="243" customFormat="1" ht="12.75"/>
    <row r="153" s="243" customFormat="1" ht="12.75"/>
    <row r="154" s="243" customFormat="1" ht="12.75"/>
    <row r="155" s="243" customFormat="1" ht="12.75"/>
    <row r="156" s="243" customFormat="1" ht="12.75"/>
    <row r="157" s="243" customFormat="1" ht="12.75"/>
    <row r="158" s="243" customFormat="1" ht="12.75"/>
    <row r="159" s="243" customFormat="1" ht="12.75"/>
    <row r="160" s="243" customFormat="1" ht="12.75"/>
    <row r="161" s="243" customFormat="1" ht="12.75"/>
    <row r="162" s="243" customFormat="1" ht="12.75"/>
    <row r="163" s="243" customFormat="1" ht="12.75"/>
    <row r="164" s="243" customFormat="1" ht="12.75"/>
    <row r="165" s="243" customFormat="1" ht="12.75"/>
    <row r="166" s="243" customFormat="1" ht="12.75"/>
    <row r="167" s="243" customFormat="1" ht="12.75"/>
    <row r="168" s="243" customFormat="1" ht="12.75"/>
    <row r="169" s="243" customFormat="1" ht="12.75"/>
    <row r="170" s="243" customFormat="1" ht="12.75"/>
    <row r="171" s="243" customFormat="1" ht="12.75"/>
    <row r="172" s="243" customFormat="1" ht="12.75"/>
    <row r="173" s="243" customFormat="1" ht="12.75"/>
    <row r="174" s="243" customFormat="1" ht="12.75"/>
    <row r="175" s="243" customFormat="1" ht="12.75"/>
    <row r="176" s="243" customFormat="1" ht="12.75"/>
    <row r="177" s="243" customFormat="1" ht="12.75"/>
    <row r="178" s="243" customFormat="1" ht="12.75"/>
    <row r="179" s="243" customFormat="1" ht="12.75"/>
    <row r="180" s="243" customFormat="1" ht="12.75"/>
    <row r="181" s="243" customFormat="1" ht="12.75"/>
    <row r="182" s="243" customFormat="1" ht="12.75"/>
    <row r="183" s="243" customFormat="1" ht="12.75"/>
    <row r="184" s="243" customFormat="1" ht="12.75"/>
    <row r="185" s="243" customFormat="1" ht="12.75"/>
    <row r="186" s="243" customFormat="1" ht="12.75"/>
    <row r="187" s="243" customFormat="1" ht="12.75"/>
    <row r="188" s="243" customFormat="1" ht="12.75"/>
    <row r="189" s="243" customFormat="1" ht="12.75"/>
    <row r="190" s="243" customFormat="1" ht="12.75"/>
    <row r="191" s="243" customFormat="1" ht="12.75"/>
    <row r="192" s="243" customFormat="1" ht="12.75"/>
    <row r="193" s="243" customFormat="1" ht="12.75"/>
    <row r="194" s="243" customFormat="1" ht="12.75"/>
    <row r="195" s="243" customFormat="1" ht="12.75"/>
    <row r="196" s="243" customFormat="1" ht="12.75"/>
    <row r="197" s="243" customFormat="1" ht="12.75"/>
    <row r="198" s="243" customFormat="1" ht="12.75"/>
    <row r="199" s="243" customFormat="1" ht="12.75"/>
    <row r="200" s="243" customFormat="1" ht="12.75"/>
    <row r="201" s="243" customFormat="1" ht="12.75"/>
    <row r="202" s="243" customFormat="1" ht="12.75"/>
    <row r="203" s="243" customFormat="1" ht="12.75"/>
    <row r="204" s="243" customFormat="1" ht="12.75"/>
    <row r="205" s="28" customFormat="1"/>
    <row r="206" s="28" customFormat="1"/>
    <row r="207" s="28" customFormat="1"/>
    <row r="208" s="28" customFormat="1"/>
    <row r="209" s="28" customFormat="1"/>
    <row r="210" s="28" customFormat="1"/>
  </sheetData>
  <mergeCells count="12">
    <mergeCell ref="E22:K22"/>
    <mergeCell ref="A12:D13"/>
    <mergeCell ref="E12:K13"/>
    <mergeCell ref="L12:L13"/>
    <mergeCell ref="M12:M13"/>
    <mergeCell ref="O12:O13"/>
    <mergeCell ref="A14:D14"/>
    <mergeCell ref="A1:O1"/>
    <mergeCell ref="A2:O2"/>
    <mergeCell ref="A3:O3"/>
    <mergeCell ref="H5:O5"/>
    <mergeCell ref="H7:O7"/>
  </mergeCells>
  <printOptions horizontalCentered="1"/>
  <pageMargins left="1" right="0.5" top="1" bottom="0.5" header="0.28000000000000003" footer="0.28000000000000003"/>
  <pageSetup paperSize="5" scale="9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65</vt:i4>
      </vt:variant>
    </vt:vector>
  </HeadingPairs>
  <TitlesOfParts>
    <vt:vector size="104" baseType="lpstr">
      <vt:lpstr>LPR1</vt:lpstr>
      <vt:lpstr>lPR2</vt:lpstr>
      <vt:lpstr>RAB 2.2.15 (2)</vt:lpstr>
      <vt:lpstr>RAB 2.2.7 (2)</vt:lpstr>
      <vt:lpstr>RAB 2.2.3... (2)</vt:lpstr>
      <vt:lpstr>RAB 2.1.1OKE</vt:lpstr>
      <vt:lpstr>RAB 2.1.2 OKE</vt:lpstr>
      <vt:lpstr>RAB 2.1.3  OKE</vt:lpstr>
      <vt:lpstr>RAB 2.1.4  OKE</vt:lpstr>
      <vt:lpstr>RAB 2.1.5 OKE </vt:lpstr>
      <vt:lpstr>RAB 2.1.8</vt:lpstr>
      <vt:lpstr>RAB 2.1.9 OKE </vt:lpstr>
      <vt:lpstr>RAB 2.1.10</vt:lpstr>
      <vt:lpstr>RAB 2.1.12</vt:lpstr>
      <vt:lpstr>RAB 2.1.13</vt:lpstr>
      <vt:lpstr>RAB 2.1.14 </vt:lpstr>
      <vt:lpstr>RAB 2.1.15</vt:lpstr>
      <vt:lpstr>RAB 2.1.16</vt:lpstr>
      <vt:lpstr>RAB 2.2.1.</vt:lpstr>
      <vt:lpstr>RAB 2.2.3...</vt:lpstr>
      <vt:lpstr>RAB 2.2.5</vt:lpstr>
      <vt:lpstr>RAB 2.2.6</vt:lpstr>
      <vt:lpstr>RAB 2.2.7</vt:lpstr>
      <vt:lpstr>RAB 2.2.15</vt:lpstr>
      <vt:lpstr>RAB 2.2.16</vt:lpstr>
      <vt:lpstr>RAB 2.3.1OKE</vt:lpstr>
      <vt:lpstr>RAB 2.3.2 OKE</vt:lpstr>
      <vt:lpstr>RAB 2.3.4 OKE</vt:lpstr>
      <vt:lpstr>RAB 2.3.6</vt:lpstr>
      <vt:lpstr>RAB 2.3.8 OKE </vt:lpstr>
      <vt:lpstr>RAB 2.3.9 OKE</vt:lpstr>
      <vt:lpstr>RAB 2.4.7 OKE</vt:lpstr>
      <vt:lpstr>RAB 2.4.13 OKE</vt:lpstr>
      <vt:lpstr>RAB 2.4.9 OKE </vt:lpstr>
      <vt:lpstr>APBDESA 16..</vt:lpstr>
      <vt:lpstr>Nama Kegiatan 2016</vt:lpstr>
      <vt:lpstr>Nama Kegiatan</vt:lpstr>
      <vt:lpstr>Sheet1</vt:lpstr>
      <vt:lpstr>Sheet6</vt:lpstr>
      <vt:lpstr>'APBDESA 16..'!Print_Area</vt:lpstr>
      <vt:lpstr>'LPR1'!Print_Area</vt:lpstr>
      <vt:lpstr>'RAB 2.1.10'!Print_Area</vt:lpstr>
      <vt:lpstr>'RAB 2.1.12'!Print_Area</vt:lpstr>
      <vt:lpstr>'RAB 2.1.13'!Print_Area</vt:lpstr>
      <vt:lpstr>'RAB 2.1.14 '!Print_Area</vt:lpstr>
      <vt:lpstr>'RAB 2.1.15'!Print_Area</vt:lpstr>
      <vt:lpstr>'RAB 2.1.16'!Print_Area</vt:lpstr>
      <vt:lpstr>'RAB 2.1.1OKE'!Print_Area</vt:lpstr>
      <vt:lpstr>'RAB 2.1.2 OKE'!Print_Area</vt:lpstr>
      <vt:lpstr>'RAB 2.1.3  OKE'!Print_Area</vt:lpstr>
      <vt:lpstr>'RAB 2.1.4  OKE'!Print_Area</vt:lpstr>
      <vt:lpstr>'RAB 2.1.5 OKE '!Print_Area</vt:lpstr>
      <vt:lpstr>'RAB 2.1.8'!Print_Area</vt:lpstr>
      <vt:lpstr>'RAB 2.1.9 OKE '!Print_Area</vt:lpstr>
      <vt:lpstr>'RAB 2.2.15'!Print_Area</vt:lpstr>
      <vt:lpstr>'RAB 2.2.15 (2)'!Print_Area</vt:lpstr>
      <vt:lpstr>'RAB 2.2.16'!Print_Area</vt:lpstr>
      <vt:lpstr>'RAB 2.2.3...'!Print_Area</vt:lpstr>
      <vt:lpstr>'RAB 2.2.3... (2)'!Print_Area</vt:lpstr>
      <vt:lpstr>'RAB 2.2.5'!Print_Area</vt:lpstr>
      <vt:lpstr>'RAB 2.2.6'!Print_Area</vt:lpstr>
      <vt:lpstr>'RAB 2.2.7'!Print_Area</vt:lpstr>
      <vt:lpstr>'RAB 2.2.7 (2)'!Print_Area</vt:lpstr>
      <vt:lpstr>'RAB 2.3.4 OKE'!Print_Area</vt:lpstr>
      <vt:lpstr>'RAB 2.3.6'!Print_Area</vt:lpstr>
      <vt:lpstr>'RAB 2.3.8 OKE '!Print_Area</vt:lpstr>
      <vt:lpstr>'RAB 2.3.9 OKE'!Print_Area</vt:lpstr>
      <vt:lpstr>'RAB 2.4.13 OKE'!Print_Area</vt:lpstr>
      <vt:lpstr>'RAB 2.4.7 OKE'!Print_Area</vt:lpstr>
      <vt:lpstr>'RAB 2.4.9 OKE '!Print_Area</vt:lpstr>
      <vt:lpstr>'APBDESA 16..'!Print_Titles</vt:lpstr>
      <vt:lpstr>'LPR1'!Print_Titles</vt:lpstr>
      <vt:lpstr>'RAB 2.1.10'!Print_Titles</vt:lpstr>
      <vt:lpstr>'RAB 2.1.12'!Print_Titles</vt:lpstr>
      <vt:lpstr>'RAB 2.1.13'!Print_Titles</vt:lpstr>
      <vt:lpstr>'RAB 2.1.14 '!Print_Titles</vt:lpstr>
      <vt:lpstr>'RAB 2.1.15'!Print_Titles</vt:lpstr>
      <vt:lpstr>'RAB 2.1.16'!Print_Titles</vt:lpstr>
      <vt:lpstr>'RAB 2.1.1OKE'!Print_Titles</vt:lpstr>
      <vt:lpstr>'RAB 2.1.2 OKE'!Print_Titles</vt:lpstr>
      <vt:lpstr>'RAB 2.1.3  OKE'!Print_Titles</vt:lpstr>
      <vt:lpstr>'RAB 2.1.4  OKE'!Print_Titles</vt:lpstr>
      <vt:lpstr>'RAB 2.1.5 OKE '!Print_Titles</vt:lpstr>
      <vt:lpstr>'RAB 2.1.8'!Print_Titles</vt:lpstr>
      <vt:lpstr>'RAB 2.1.9 OKE '!Print_Titles</vt:lpstr>
      <vt:lpstr>'RAB 2.2.1.'!Print_Titles</vt:lpstr>
      <vt:lpstr>'RAB 2.2.15'!Print_Titles</vt:lpstr>
      <vt:lpstr>'RAB 2.2.15 (2)'!Print_Titles</vt:lpstr>
      <vt:lpstr>'RAB 2.2.16'!Print_Titles</vt:lpstr>
      <vt:lpstr>'RAB 2.2.3...'!Print_Titles</vt:lpstr>
      <vt:lpstr>'RAB 2.2.3... (2)'!Print_Titles</vt:lpstr>
      <vt:lpstr>'RAB 2.2.5'!Print_Titles</vt:lpstr>
      <vt:lpstr>'RAB 2.2.6'!Print_Titles</vt:lpstr>
      <vt:lpstr>'RAB 2.2.7'!Print_Titles</vt:lpstr>
      <vt:lpstr>'RAB 2.2.7 (2)'!Print_Titles</vt:lpstr>
      <vt:lpstr>'RAB 2.3.1OKE'!Print_Titles</vt:lpstr>
      <vt:lpstr>'RAB 2.3.2 OKE'!Print_Titles</vt:lpstr>
      <vt:lpstr>'RAB 2.3.4 OKE'!Print_Titles</vt:lpstr>
      <vt:lpstr>'RAB 2.3.6'!Print_Titles</vt:lpstr>
      <vt:lpstr>'RAB 2.3.8 OKE '!Print_Titles</vt:lpstr>
      <vt:lpstr>'RAB 2.3.9 OKE'!Print_Titles</vt:lpstr>
      <vt:lpstr>'RAB 2.4.13 OKE'!Print_Titles</vt:lpstr>
      <vt:lpstr>'RAB 2.4.7 OKE'!Print_Titles</vt:lpstr>
      <vt:lpstr>'RAB 2.4.9 OKE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indri</cp:lastModifiedBy>
  <cp:lastPrinted>2016-04-27T14:57:34Z</cp:lastPrinted>
  <dcterms:created xsi:type="dcterms:W3CDTF">2009-03-16T15:35:51Z</dcterms:created>
  <dcterms:modified xsi:type="dcterms:W3CDTF">2016-11-17T20:03:27Z</dcterms:modified>
</cp:coreProperties>
</file>