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C:\Users\Pc\Downloads\"/>
    </mc:Choice>
  </mc:AlternateContent>
  <xr:revisionPtr revIDLastSave="0" documentId="13_ncr:1_{487FC62B-061D-47B9-83B4-696E32610449}" xr6:coauthVersionLast="47" xr6:coauthVersionMax="47" xr10:uidLastSave="{00000000-0000-0000-0000-000000000000}"/>
  <bookViews>
    <workbookView xWindow="-120" yWindow="-120" windowWidth="20730" windowHeight="11310" tabRatio="880" activeTab="1" xr2:uid="{00000000-000D-0000-FFFF-FFFF00000000}"/>
  </bookViews>
  <sheets>
    <sheet name="PERSETUJUAN" sheetId="1" r:id="rId1"/>
    <sheet name="INPUTAN DESA ...." sheetId="2" r:id="rId2"/>
  </sheets>
  <definedNames>
    <definedName name="_xlnm._FilterDatabase" localSheetId="1" hidden="1">'INPUTAN DESA ....'!$B$4:$K$2253</definedName>
    <definedName name="Ada">'INPUTAN DESA ....'!$J$1837:$J$1838</definedName>
    <definedName name="Ada_goroyong">'INPUTAN DESA ....'!$J$1937:$J$1938</definedName>
    <definedName name="Ada_listrik">'INPUTAN DESA ....'!$J$1903:$J$1905</definedName>
    <definedName name="Aktivitas_posyandu1">'INPUTAN DESA ....'!$J$1815</definedName>
    <definedName name="Aktivitas_Posyandu5">'INPUTAN DESA ....'!$J$1816:$J$1819</definedName>
    <definedName name="Berat">'INPUTAN DESA ....'!$J$2131:$J$2132</definedName>
    <definedName name="BPJS">'INPUTAN DESA ....'!$J$603:$J$605</definedName>
    <definedName name="damai">'INPUTAN DESA ....'!$J$1972:$J$1973</definedName>
    <definedName name="Diisi">'INPUTAN DESA ....'!$J$2152:$J$2153</definedName>
    <definedName name="hasil_laut">'INPUTAN DESA ....'!$J$1330:$J$1332</definedName>
    <definedName name="Jabatan_petugas">'INPUTAN DESA ....'!$J$11:$J$14</definedName>
    <definedName name="Jalan_Baik">'INPUTAN DESA ....'!$J$2127</definedName>
    <definedName name="Jalan_rusak">'INPUTAN DESA ....'!$J$2123:$J$2126</definedName>
    <definedName name="kebun">'INPUTAN DESA ....'!$J$390:$J$396</definedName>
    <definedName name="Laut">'INPUTAN DESA ....'!$J$1329</definedName>
    <definedName name="Non_listrik">'INPUTAN DESA ....'!$J$1902</definedName>
    <definedName name="OK">'INPUTAN DESA ....'!$J$1988</definedName>
    <definedName name="OR">'INPUTAN DESA ....'!$J$1985:$J$1988</definedName>
    <definedName name="Pasar">'INPUTAN DESA ....'!$J$397:$J$398</definedName>
    <definedName name="Pendamping">'INPUTAN DESA ....'!$J$10</definedName>
    <definedName name="Pendamping_wisata">'INPUTAN DESA ....'!$J$110:$J$116</definedName>
    <definedName name="Pengelola_wisata">'INPUTAN DESA ....'!$J$99:$J$108</definedName>
    <definedName name="Perpustakaan">'INPUTAN DESA ....'!$J$1984:$J$1988</definedName>
    <definedName name="Rpublik">'INPUTAN DESA ....'!$J$729:$J$731</definedName>
    <definedName name="Ruang_publik">'INPUTAN DESA ....'!$J$1985:$J$1987</definedName>
    <definedName name="Sedang">'INPUTAN DESA ....'!$J$2132:$J$2133</definedName>
    <definedName name="Septi_tank1">'INPUTAN DESA ....'!$J$1884</definedName>
    <definedName name="Septic_tank5">'INPUTAN DESA ....'!$J$1884:$J$1885</definedName>
    <definedName name="sinyal">'INPUTAN DESA ....'!$J$934:$J$937</definedName>
    <definedName name="Tambang">'INPUTAN DESA ....'!$J$259:$J$265</definedName>
    <definedName name="tdk_rpublik">'INPUTAN DESA ....'!$J$732</definedName>
    <definedName name="Tersedia">'INPUTAN DESA ....'!$J$598:$J$599</definedName>
    <definedName name="Tidak">'INPUTAN DESA ....'!$J$1936</definedName>
    <definedName name="Tidak_Ada">'INPUTAN DESA ....'!$J$1838</definedName>
    <definedName name="Tidak_Diisi">'INPUTAN DESA ....'!$J$2153</definedName>
    <definedName name="Tidak_tersedia">'INPUTAN DESA ....'!$J$598</definedName>
    <definedName name="wifi">'INPUTAN DESA ....'!$J$941:$J$951</definedName>
    <definedName name="Ya">'INPUTAN DESA ....'!$J$1474:$J$1475</definedName>
  </definedNames>
  <calcPr calcId="999999"/>
</workbook>
</file>

<file path=xl/calcChain.xml><?xml version="1.0" encoding="utf-8"?>
<calcChain xmlns="http://schemas.openxmlformats.org/spreadsheetml/2006/main">
  <c r="H2471" i="2" l="1"/>
  <c r="E2471" i="2"/>
  <c r="H2470" i="2"/>
  <c r="E2470" i="2"/>
  <c r="H2469" i="2"/>
  <c r="E2469" i="2"/>
  <c r="H2468" i="2"/>
  <c r="E2468" i="2"/>
  <c r="H2467" i="2"/>
  <c r="E2467" i="2"/>
  <c r="H2466" i="2"/>
  <c r="E2466" i="2"/>
  <c r="H2465" i="2"/>
  <c r="E2465" i="2"/>
  <c r="H2464" i="2"/>
  <c r="E2464" i="2"/>
  <c r="H2463" i="2"/>
  <c r="E2463" i="2"/>
  <c r="H2462" i="2"/>
  <c r="E2462" i="2"/>
  <c r="H2461" i="2"/>
  <c r="E2461" i="2"/>
  <c r="H2460" i="2"/>
  <c r="E2460" i="2"/>
  <c r="H2459" i="2"/>
  <c r="E2459" i="2"/>
  <c r="H2458" i="2"/>
  <c r="E2458" i="2"/>
  <c r="H2457" i="2"/>
  <c r="E2457" i="2"/>
  <c r="H2456" i="2"/>
  <c r="E2456" i="2"/>
  <c r="H2455" i="2"/>
  <c r="E2455" i="2"/>
  <c r="H2454" i="2"/>
  <c r="E2454" i="2"/>
  <c r="H2453" i="2"/>
  <c r="E2453" i="2"/>
  <c r="H2452" i="2"/>
  <c r="E2452" i="2"/>
  <c r="H2451" i="2"/>
  <c r="E2451" i="2"/>
  <c r="H2450" i="2"/>
  <c r="E2450" i="2"/>
  <c r="H2449" i="2"/>
  <c r="E2449" i="2"/>
  <c r="H2448" i="2"/>
  <c r="E2448" i="2"/>
  <c r="H2447" i="2"/>
  <c r="E2447" i="2"/>
  <c r="H2446" i="2"/>
  <c r="E2446" i="2"/>
  <c r="H2445" i="2"/>
  <c r="E2445" i="2"/>
  <c r="H2444" i="2"/>
  <c r="E2444" i="2"/>
  <c r="H2443" i="2"/>
  <c r="E2443" i="2"/>
  <c r="H2442" i="2"/>
  <c r="E2442" i="2"/>
  <c r="H2441" i="2"/>
  <c r="E2441" i="2"/>
  <c r="H2440" i="2"/>
  <c r="E2440" i="2"/>
  <c r="H2439" i="2"/>
  <c r="E2439" i="2"/>
  <c r="H2438" i="2"/>
  <c r="E2438" i="2"/>
  <c r="H2437" i="2"/>
  <c r="E2437" i="2"/>
  <c r="H2436" i="2"/>
  <c r="E2436" i="2"/>
  <c r="H2435" i="2"/>
  <c r="E2435" i="2"/>
  <c r="H2434" i="2"/>
  <c r="E2434" i="2"/>
  <c r="H2433" i="2"/>
  <c r="E2433" i="2"/>
  <c r="H2432" i="2"/>
  <c r="E2432" i="2"/>
  <c r="H2431" i="2"/>
  <c r="E2431" i="2"/>
  <c r="H2430" i="2"/>
  <c r="E2430" i="2"/>
  <c r="H2429" i="2"/>
  <c r="E2429" i="2"/>
  <c r="H2428" i="2"/>
  <c r="E2428" i="2"/>
  <c r="H2427" i="2"/>
  <c r="E2427" i="2"/>
  <c r="H2426" i="2"/>
  <c r="E2426" i="2"/>
  <c r="H2425" i="2"/>
  <c r="E2425" i="2"/>
  <c r="H2424" i="2"/>
  <c r="E2424" i="2"/>
  <c r="H2423" i="2"/>
  <c r="E2423" i="2"/>
  <c r="H2422" i="2"/>
  <c r="E2422" i="2"/>
  <c r="H2421" i="2"/>
  <c r="E2421" i="2"/>
  <c r="H2420" i="2"/>
  <c r="E2420" i="2"/>
  <c r="H2419" i="2"/>
  <c r="E2419" i="2"/>
  <c r="H2418" i="2"/>
  <c r="E2418" i="2"/>
  <c r="H2417" i="2"/>
  <c r="E2417" i="2"/>
  <c r="H2416" i="2"/>
  <c r="E2416" i="2"/>
  <c r="H2415" i="2"/>
  <c r="E2415" i="2"/>
  <c r="H2414" i="2"/>
  <c r="E2414" i="2"/>
  <c r="H2413" i="2"/>
  <c r="E2413" i="2"/>
  <c r="H2412" i="2"/>
  <c r="E2412" i="2"/>
  <c r="H2411" i="2"/>
  <c r="E2411" i="2"/>
  <c r="H2410" i="2"/>
  <c r="E2410" i="2"/>
  <c r="H2409" i="2"/>
  <c r="E2409" i="2"/>
  <c r="H2408" i="2"/>
  <c r="E2408" i="2"/>
  <c r="H2407" i="2"/>
  <c r="E2407" i="2"/>
  <c r="H2406" i="2"/>
  <c r="E2406" i="2"/>
  <c r="H2405" i="2"/>
  <c r="E2405" i="2"/>
  <c r="H2404" i="2"/>
  <c r="E2404" i="2"/>
  <c r="H2402" i="2"/>
  <c r="F2402" i="2"/>
  <c r="E2402" i="2"/>
  <c r="H2401" i="2"/>
  <c r="F2401" i="2"/>
  <c r="H2400" i="2"/>
  <c r="F2400" i="2"/>
  <c r="E2400" i="2"/>
  <c r="H2399" i="2"/>
  <c r="F2399" i="2"/>
  <c r="H2397" i="2"/>
  <c r="F2397" i="2"/>
  <c r="E2397" i="2"/>
  <c r="H2396" i="2"/>
  <c r="F2396" i="2"/>
  <c r="H2395" i="2"/>
  <c r="F2395" i="2"/>
  <c r="H2394" i="2"/>
  <c r="F2394" i="2"/>
  <c r="E2394" i="2"/>
  <c r="H2393" i="2"/>
  <c r="F2393" i="2"/>
  <c r="H2392" i="2"/>
  <c r="F2392" i="2"/>
  <c r="H2391" i="2"/>
  <c r="F2391" i="2"/>
  <c r="H2390" i="2"/>
  <c r="F2390" i="2"/>
  <c r="H2389" i="2"/>
  <c r="F2389" i="2"/>
  <c r="H2388" i="2"/>
  <c r="F2388" i="2"/>
  <c r="E2388" i="2"/>
  <c r="H2387" i="2"/>
  <c r="F2387" i="2"/>
  <c r="H2386" i="2"/>
  <c r="F2386" i="2"/>
  <c r="H2385" i="2"/>
  <c r="F2385" i="2"/>
  <c r="H2384" i="2"/>
  <c r="F2384" i="2"/>
  <c r="H2383" i="2"/>
  <c r="F2383" i="2"/>
  <c r="H2382" i="2"/>
  <c r="F2382" i="2"/>
  <c r="E2382" i="2"/>
  <c r="H2381" i="2"/>
  <c r="F2381" i="2"/>
  <c r="H2380" i="2"/>
  <c r="F2380" i="2"/>
  <c r="H2379" i="2"/>
  <c r="F2379" i="2"/>
  <c r="H2378" i="2"/>
  <c r="F2378" i="2"/>
  <c r="H2377" i="2"/>
  <c r="F2377" i="2"/>
  <c r="H2376" i="2"/>
  <c r="F2376" i="2"/>
  <c r="H2375" i="2"/>
  <c r="F2375" i="2"/>
  <c r="E2375" i="2"/>
  <c r="H2374" i="2"/>
  <c r="F2374" i="2"/>
  <c r="H2373" i="2"/>
  <c r="F2373" i="2"/>
  <c r="H2372" i="2"/>
  <c r="F2372" i="2"/>
  <c r="E2372" i="2"/>
  <c r="H2371" i="2"/>
  <c r="F2371" i="2"/>
  <c r="H2370" i="2"/>
  <c r="F2370" i="2"/>
  <c r="E2370" i="2"/>
  <c r="H2369" i="2"/>
  <c r="F2369" i="2"/>
  <c r="H2368" i="2"/>
  <c r="F2368" i="2"/>
  <c r="E2368" i="2"/>
  <c r="H2367" i="2"/>
  <c r="F2367" i="2"/>
  <c r="H2366" i="2"/>
  <c r="F2366" i="2"/>
  <c r="E2366" i="2"/>
  <c r="H2365" i="2"/>
  <c r="F2365" i="2"/>
  <c r="H2364" i="2"/>
  <c r="F2364" i="2"/>
  <c r="H2363" i="2"/>
  <c r="F2363" i="2"/>
  <c r="E2363" i="2"/>
  <c r="H2362" i="2"/>
  <c r="F2362" i="2"/>
  <c r="H2361" i="2"/>
  <c r="F2361" i="2"/>
  <c r="H2360" i="2"/>
  <c r="F2360" i="2"/>
  <c r="E2360" i="2"/>
  <c r="H2359" i="2"/>
  <c r="F2359" i="2"/>
  <c r="H2358" i="2"/>
  <c r="F2358" i="2"/>
  <c r="H2357" i="2"/>
  <c r="F2357" i="2"/>
  <c r="E2357" i="2"/>
  <c r="H2356" i="2"/>
  <c r="F2356" i="2"/>
  <c r="H2355" i="2"/>
  <c r="F2355" i="2"/>
  <c r="H2354" i="2"/>
  <c r="F2354" i="2"/>
  <c r="E2354" i="2"/>
  <c r="H2353" i="2"/>
  <c r="F2353" i="2"/>
  <c r="H2352" i="2"/>
  <c r="F2352" i="2"/>
  <c r="H2351" i="2"/>
  <c r="F2351" i="2"/>
  <c r="E2351" i="2"/>
  <c r="H2350" i="2"/>
  <c r="F2350" i="2"/>
  <c r="H2349" i="2"/>
  <c r="F2349" i="2"/>
  <c r="E2349" i="2"/>
  <c r="H2348" i="2"/>
  <c r="F2348" i="2"/>
  <c r="H2347" i="2"/>
  <c r="F2347" i="2"/>
  <c r="H2346" i="2"/>
  <c r="F2346" i="2"/>
  <c r="H2345" i="2"/>
  <c r="F2345" i="2"/>
  <c r="E2345" i="2"/>
  <c r="H2344" i="2"/>
  <c r="F2344" i="2"/>
  <c r="H2343" i="2"/>
  <c r="F2343" i="2"/>
  <c r="E2343" i="2"/>
  <c r="H2342" i="2"/>
  <c r="F2342" i="2"/>
  <c r="H2341" i="2"/>
  <c r="F2341" i="2"/>
  <c r="H2340" i="2"/>
  <c r="F2340" i="2"/>
  <c r="E2340" i="2"/>
  <c r="H2339" i="2"/>
  <c r="F2339" i="2"/>
  <c r="H2338" i="2"/>
  <c r="F2338" i="2"/>
  <c r="H2337" i="2"/>
  <c r="F2337" i="2"/>
  <c r="E2337" i="2"/>
  <c r="H2336" i="2"/>
  <c r="F2336" i="2"/>
  <c r="H2335" i="2"/>
  <c r="F2335" i="2"/>
  <c r="E2335" i="2"/>
  <c r="H2334" i="2"/>
  <c r="F2334" i="2"/>
  <c r="H2333" i="2"/>
  <c r="F2333" i="2"/>
  <c r="E2333" i="2"/>
  <c r="H2332" i="2"/>
  <c r="F2332" i="2"/>
  <c r="H2331" i="2"/>
  <c r="F2331" i="2"/>
  <c r="E2331" i="2"/>
  <c r="H2330" i="2"/>
  <c r="F2330" i="2"/>
  <c r="H2329" i="2"/>
  <c r="F2329" i="2"/>
  <c r="E2329" i="2"/>
  <c r="H2328" i="2"/>
  <c r="F2328" i="2"/>
  <c r="H2327" i="2"/>
  <c r="F2327" i="2"/>
  <c r="E2327" i="2"/>
  <c r="H2326" i="2"/>
  <c r="F2326" i="2"/>
  <c r="H2325" i="2"/>
  <c r="F2325" i="2"/>
  <c r="E2325" i="2"/>
  <c r="H2324" i="2"/>
  <c r="F2324" i="2"/>
  <c r="H2323" i="2"/>
  <c r="F2323" i="2"/>
  <c r="E2323" i="2"/>
  <c r="H2322" i="2"/>
  <c r="F2322" i="2"/>
  <c r="H2321" i="2"/>
  <c r="F2321" i="2"/>
  <c r="H2320" i="2"/>
  <c r="F2320" i="2"/>
  <c r="E2320" i="2"/>
  <c r="H2319" i="2"/>
  <c r="F2319" i="2"/>
  <c r="H2318" i="2"/>
  <c r="F2318" i="2"/>
  <c r="H2317" i="2"/>
  <c r="F2317" i="2"/>
  <c r="E2317" i="2"/>
  <c r="H2316" i="2"/>
  <c r="F2316" i="2"/>
  <c r="H2315" i="2"/>
  <c r="F2315" i="2"/>
  <c r="H2314" i="2"/>
  <c r="F2314" i="2"/>
  <c r="E2314" i="2"/>
  <c r="H2313" i="2"/>
  <c r="F2313" i="2"/>
  <c r="H2312" i="2"/>
  <c r="F2312" i="2"/>
  <c r="E2312" i="2"/>
  <c r="H2311" i="2"/>
  <c r="F2311" i="2"/>
  <c r="H2310" i="2"/>
  <c r="F2310" i="2"/>
  <c r="E2310" i="2"/>
  <c r="H2309" i="2"/>
  <c r="F2309" i="2"/>
  <c r="H2308" i="2"/>
  <c r="F2308" i="2"/>
  <c r="E2308" i="2"/>
  <c r="H2307" i="2"/>
  <c r="F2307" i="2"/>
  <c r="H2306" i="2"/>
  <c r="F2306" i="2"/>
  <c r="E2306" i="2"/>
  <c r="H2305" i="2"/>
  <c r="F2305" i="2"/>
  <c r="H2304" i="2"/>
  <c r="F2304" i="2"/>
  <c r="E2304" i="2"/>
  <c r="H2303" i="2"/>
  <c r="F2303" i="2"/>
  <c r="H2302" i="2"/>
  <c r="F2302" i="2"/>
  <c r="H2301" i="2"/>
  <c r="F2301" i="2"/>
  <c r="H2300" i="2"/>
  <c r="F2300" i="2"/>
  <c r="H2299" i="2"/>
  <c r="F2299" i="2"/>
  <c r="H2298" i="2"/>
  <c r="F2298" i="2"/>
  <c r="H2297" i="2"/>
  <c r="F2297" i="2"/>
  <c r="H2296" i="2"/>
  <c r="F2296" i="2"/>
  <c r="H2295" i="2"/>
  <c r="F2295" i="2"/>
  <c r="H2294" i="2"/>
  <c r="F2294" i="2"/>
  <c r="E2294" i="2"/>
  <c r="H2293" i="2"/>
  <c r="F2293" i="2"/>
  <c r="H2292" i="2"/>
  <c r="F2292" i="2"/>
  <c r="E2292" i="2"/>
  <c r="H2291" i="2"/>
  <c r="F2291" i="2"/>
  <c r="H2290" i="2"/>
  <c r="F2290" i="2"/>
  <c r="E2290" i="2"/>
  <c r="H2289" i="2"/>
  <c r="F2289" i="2"/>
  <c r="H2288" i="2"/>
  <c r="F2288" i="2"/>
  <c r="E2288" i="2"/>
  <c r="H2287" i="2"/>
  <c r="F2287" i="2"/>
  <c r="H2286" i="2"/>
  <c r="F2286" i="2"/>
  <c r="E2286" i="2"/>
  <c r="H2285" i="2"/>
  <c r="F2285" i="2"/>
  <c r="H2284" i="2"/>
  <c r="F2284" i="2"/>
  <c r="E2284" i="2"/>
  <c r="H2283" i="2"/>
  <c r="F2283" i="2"/>
  <c r="H2282" i="2"/>
  <c r="F2282" i="2"/>
  <c r="E2282" i="2"/>
  <c r="H2281" i="2"/>
  <c r="F2281" i="2"/>
  <c r="H2280" i="2"/>
  <c r="F2280" i="2"/>
  <c r="E2280" i="2"/>
  <c r="H2279" i="2"/>
  <c r="F2279" i="2"/>
  <c r="H2278" i="2"/>
  <c r="F2278" i="2"/>
  <c r="E2278" i="2"/>
  <c r="H2277" i="2"/>
  <c r="F2277" i="2"/>
  <c r="H2276" i="2"/>
  <c r="F2276" i="2"/>
  <c r="E2276" i="2"/>
  <c r="H2275" i="2"/>
  <c r="F2275" i="2"/>
  <c r="H2274" i="2"/>
  <c r="F2274" i="2"/>
  <c r="E2274" i="2"/>
  <c r="H2273" i="2"/>
  <c r="F2273" i="2"/>
  <c r="H2272" i="2"/>
  <c r="F2272" i="2"/>
  <c r="E2272" i="2"/>
  <c r="H2271" i="2"/>
  <c r="F2271" i="2"/>
  <c r="H2270" i="2"/>
  <c r="F2270" i="2"/>
  <c r="E2270" i="2"/>
  <c r="H2269" i="2"/>
  <c r="F2269" i="2"/>
  <c r="H2268" i="2"/>
  <c r="F2268" i="2"/>
  <c r="H2267" i="2"/>
  <c r="F2267" i="2"/>
  <c r="E2267" i="2"/>
  <c r="H2266" i="2"/>
  <c r="F2266" i="2"/>
  <c r="H2265" i="2"/>
  <c r="F2265" i="2"/>
  <c r="E2265" i="2"/>
  <c r="H2264" i="2"/>
  <c r="F2264" i="2"/>
  <c r="H2263" i="2"/>
  <c r="F2263" i="2"/>
  <c r="H2262" i="2"/>
  <c r="F2262" i="2"/>
  <c r="E2262" i="2"/>
  <c r="H2261" i="2"/>
  <c r="F2261" i="2"/>
  <c r="H2260" i="2"/>
  <c r="F2260" i="2"/>
  <c r="E2260" i="2"/>
  <c r="H2259" i="2"/>
  <c r="F2259" i="2"/>
  <c r="H2258" i="2"/>
  <c r="F2258" i="2"/>
  <c r="E2258" i="2"/>
  <c r="H2257" i="2"/>
  <c r="F2257" i="2"/>
  <c r="H2256" i="2"/>
  <c r="F2256" i="2"/>
  <c r="E2256" i="2"/>
  <c r="H2255" i="2"/>
  <c r="F2255" i="2"/>
  <c r="H2253" i="2"/>
  <c r="E2253" i="2"/>
  <c r="E2252" i="2"/>
  <c r="E2250" i="2"/>
  <c r="H2249" i="2"/>
  <c r="G2249" i="2"/>
  <c r="E2249" i="2"/>
  <c r="E2248" i="2"/>
  <c r="E2247" i="2"/>
  <c r="E2246" i="2"/>
  <c r="E2245" i="2"/>
  <c r="H2242" i="2"/>
  <c r="E2242" i="2"/>
  <c r="E2241" i="2"/>
  <c r="H2240" i="2"/>
  <c r="E2240" i="2"/>
  <c r="E2239" i="2"/>
  <c r="H2238" i="2"/>
  <c r="G2238" i="2"/>
  <c r="E2238" i="2"/>
  <c r="E2237" i="2"/>
  <c r="H2236" i="2"/>
  <c r="E2236" i="2"/>
  <c r="E2235" i="2"/>
  <c r="E2234" i="2"/>
  <c r="E2233" i="2"/>
  <c r="E2232" i="2"/>
  <c r="E2230" i="2"/>
  <c r="E2227" i="2"/>
  <c r="E2226" i="2"/>
  <c r="E2225" i="2"/>
  <c r="E2223" i="2"/>
  <c r="E2222" i="2"/>
  <c r="E2220" i="2"/>
  <c r="E2219" i="2"/>
  <c r="E2218" i="2"/>
  <c r="H2217" i="2"/>
  <c r="E2217" i="2"/>
  <c r="E2215" i="2"/>
  <c r="E2214" i="2"/>
  <c r="E2213" i="2"/>
  <c r="E2212" i="2"/>
  <c r="E2211" i="2"/>
  <c r="E2209" i="2"/>
  <c r="E2208" i="2"/>
  <c r="E2207" i="2"/>
  <c r="E2206" i="2"/>
  <c r="H2205" i="2"/>
  <c r="E2205" i="2"/>
  <c r="H2204" i="2"/>
  <c r="E2204" i="2"/>
  <c r="H2203" i="2"/>
  <c r="E2203" i="2"/>
  <c r="E2200" i="2"/>
  <c r="H2199" i="2"/>
  <c r="E2199" i="2"/>
  <c r="E2197" i="2"/>
  <c r="E2196" i="2"/>
  <c r="H2195" i="2"/>
  <c r="E2195" i="2"/>
  <c r="H2194" i="2"/>
  <c r="E2194" i="2"/>
  <c r="H2193" i="2"/>
  <c r="E2193" i="2"/>
  <c r="H2192" i="2"/>
  <c r="E2192" i="2"/>
  <c r="H2190" i="2"/>
  <c r="E2190" i="2"/>
  <c r="E2188" i="2"/>
  <c r="E2187" i="2"/>
  <c r="E2185" i="2"/>
  <c r="E2184" i="2"/>
  <c r="E2183" i="2"/>
  <c r="E2181" i="2"/>
  <c r="E2180" i="2"/>
  <c r="E2179" i="2"/>
  <c r="E2178" i="2"/>
  <c r="E2177" i="2"/>
  <c r="E2175" i="2"/>
  <c r="E2174" i="2"/>
  <c r="E2173" i="2"/>
  <c r="E2172" i="2"/>
  <c r="E2171" i="2"/>
  <c r="E2170" i="2"/>
  <c r="E2169" i="2"/>
  <c r="E2168" i="2"/>
  <c r="E2167" i="2"/>
  <c r="E2166" i="2"/>
  <c r="E2165" i="2"/>
  <c r="E2164" i="2"/>
  <c r="E2163" i="2"/>
  <c r="E2162" i="2"/>
  <c r="E2160" i="2"/>
  <c r="E2159" i="2"/>
  <c r="E2158" i="2"/>
  <c r="E2157" i="2"/>
  <c r="E2156" i="2"/>
  <c r="E2155" i="2"/>
  <c r="E2154" i="2"/>
  <c r="E2153" i="2"/>
  <c r="E2152" i="2"/>
  <c r="E2150" i="2"/>
  <c r="E2148" i="2"/>
  <c r="E2144" i="2"/>
  <c r="E2143" i="2"/>
  <c r="E2142" i="2"/>
  <c r="E2141" i="2"/>
  <c r="E2140" i="2"/>
  <c r="E2139" i="2"/>
  <c r="E2138" i="2"/>
  <c r="E2137" i="2"/>
  <c r="E2135" i="2"/>
  <c r="H2134" i="2"/>
  <c r="E2134" i="2"/>
  <c r="E2131" i="2"/>
  <c r="H2130" i="2"/>
  <c r="E2130" i="2"/>
  <c r="E2128" i="2"/>
  <c r="E2127" i="2"/>
  <c r="E2126" i="2"/>
  <c r="E2125" i="2"/>
  <c r="E2124" i="2"/>
  <c r="H2122" i="2"/>
  <c r="E2122" i="2"/>
  <c r="E2118" i="2"/>
  <c r="E2117" i="2"/>
  <c r="H2116" i="2"/>
  <c r="E2116" i="2"/>
  <c r="E2115" i="2"/>
  <c r="E2114" i="2"/>
  <c r="E2113" i="2"/>
  <c r="H2112" i="2"/>
  <c r="E2112" i="2"/>
  <c r="E2111" i="2"/>
  <c r="E2110" i="2"/>
  <c r="H2109" i="2"/>
  <c r="E2109" i="2"/>
  <c r="H2108" i="2"/>
  <c r="E2108" i="2"/>
  <c r="H2107" i="2"/>
  <c r="E2107" i="2"/>
  <c r="H2106" i="2"/>
  <c r="E2106" i="2"/>
  <c r="H2105" i="2"/>
  <c r="E2105" i="2"/>
  <c r="H2104" i="2"/>
  <c r="E2104" i="2"/>
  <c r="H2103" i="2"/>
  <c r="E2103" i="2"/>
  <c r="H2102" i="2"/>
  <c r="E2102" i="2"/>
  <c r="H2101" i="2"/>
  <c r="E2101" i="2"/>
  <c r="H2097" i="2"/>
  <c r="G2097" i="2"/>
  <c r="E2097" i="2"/>
  <c r="H2096" i="2"/>
  <c r="E2096" i="2"/>
  <c r="H2095" i="2"/>
  <c r="E2095" i="2"/>
  <c r="H2094" i="2"/>
  <c r="E2094" i="2"/>
  <c r="H2093" i="2"/>
  <c r="E2093" i="2"/>
  <c r="E2091" i="2"/>
  <c r="E2090" i="2"/>
  <c r="E2089" i="2"/>
  <c r="E2088" i="2"/>
  <c r="E2087" i="2"/>
  <c r="E2086" i="2"/>
  <c r="E2084" i="2"/>
  <c r="E2083" i="2"/>
  <c r="E2082" i="2"/>
  <c r="E2081" i="2"/>
  <c r="E2080" i="2"/>
  <c r="E2079" i="2"/>
  <c r="E2078" i="2"/>
  <c r="E2077" i="2"/>
  <c r="E2073" i="2"/>
  <c r="H2072" i="2"/>
  <c r="E2072" i="2"/>
  <c r="H2071" i="2"/>
  <c r="E2071" i="2"/>
  <c r="H2070" i="2"/>
  <c r="E2070" i="2"/>
  <c r="E2068" i="2"/>
  <c r="H2067" i="2"/>
  <c r="E2067" i="2"/>
  <c r="H2065" i="2"/>
  <c r="E2065" i="2"/>
  <c r="E2064" i="2"/>
  <c r="E2063" i="2"/>
  <c r="E2062" i="2"/>
  <c r="E2061" i="2"/>
  <c r="E2060" i="2"/>
  <c r="H2059" i="2"/>
  <c r="E2059" i="2"/>
  <c r="H2057" i="2"/>
  <c r="E2057" i="2"/>
  <c r="E2056" i="2"/>
  <c r="H2055" i="2"/>
  <c r="E2055" i="2"/>
  <c r="E2054" i="2"/>
  <c r="H2053" i="2"/>
  <c r="E2053" i="2"/>
  <c r="H2051" i="2"/>
  <c r="E2051" i="2"/>
  <c r="E2050" i="2"/>
  <c r="H2049" i="2"/>
  <c r="E2049" i="2"/>
  <c r="H2048" i="2"/>
  <c r="E2048" i="2"/>
  <c r="H2047" i="2"/>
  <c r="E2047" i="2"/>
  <c r="H2045" i="2"/>
  <c r="E2045" i="2"/>
  <c r="E2044" i="2"/>
  <c r="E2043" i="2"/>
  <c r="E2042" i="2"/>
  <c r="H2041" i="2"/>
  <c r="E2041" i="2"/>
  <c r="H2039" i="2"/>
  <c r="E2039" i="2"/>
  <c r="E2038" i="2"/>
  <c r="H2037" i="2"/>
  <c r="E2037" i="2"/>
  <c r="E2036" i="2"/>
  <c r="H2035" i="2"/>
  <c r="E2035" i="2"/>
  <c r="H2033" i="2"/>
  <c r="E2033" i="2"/>
  <c r="E2032" i="2"/>
  <c r="E2031" i="2"/>
  <c r="E2030" i="2"/>
  <c r="E2029" i="2"/>
  <c r="H2028" i="2"/>
  <c r="E2028" i="2"/>
  <c r="E2026" i="2"/>
  <c r="E2025" i="2"/>
  <c r="E2024" i="2"/>
  <c r="H2023" i="2"/>
  <c r="E2023" i="2"/>
  <c r="E2020" i="2"/>
  <c r="E2019" i="2"/>
  <c r="E2017" i="2"/>
  <c r="E2016" i="2"/>
  <c r="E2014" i="2"/>
  <c r="E2013" i="2"/>
  <c r="E2012" i="2"/>
  <c r="E2010" i="2"/>
  <c r="E2009" i="2"/>
  <c r="E2005" i="2"/>
  <c r="E2004" i="2"/>
  <c r="E2003" i="2"/>
  <c r="E2001" i="2"/>
  <c r="E2000" i="2"/>
  <c r="E1999" i="2"/>
  <c r="E1998" i="2"/>
  <c r="H1997" i="2"/>
  <c r="G1997" i="2"/>
  <c r="E1997" i="2"/>
  <c r="E1995" i="2"/>
  <c r="E1994" i="2"/>
  <c r="E1993" i="2"/>
  <c r="E1992" i="2"/>
  <c r="E1991" i="2"/>
  <c r="E1990" i="2"/>
  <c r="E1989" i="2"/>
  <c r="E1988" i="2"/>
  <c r="E1987" i="2"/>
  <c r="H1986" i="2"/>
  <c r="G1986" i="2"/>
  <c r="E1986" i="2"/>
  <c r="E1984" i="2"/>
  <c r="H1983" i="2"/>
  <c r="E1983" i="2"/>
  <c r="E1980" i="2"/>
  <c r="E1979" i="2"/>
  <c r="H1977" i="2"/>
  <c r="E1977" i="2"/>
  <c r="H1976" i="2"/>
  <c r="E1976" i="2"/>
  <c r="H1975" i="2"/>
  <c r="E1975" i="2"/>
  <c r="H1974" i="2"/>
  <c r="E1974" i="2"/>
  <c r="E1973" i="2"/>
  <c r="H1971" i="2"/>
  <c r="E1971" i="2"/>
  <c r="H1970" i="2"/>
  <c r="E1970" i="2"/>
  <c r="H1969" i="2"/>
  <c r="E1969" i="2"/>
  <c r="E1968" i="2"/>
  <c r="H1967" i="2"/>
  <c r="E1967" i="2"/>
  <c r="E1966" i="2"/>
  <c r="H1965" i="2"/>
  <c r="E1965" i="2"/>
  <c r="E1964" i="2"/>
  <c r="H1963" i="2"/>
  <c r="E1963" i="2"/>
  <c r="E1962" i="2"/>
  <c r="H1961" i="2"/>
  <c r="E1961" i="2"/>
  <c r="E1960" i="2"/>
  <c r="H1959" i="2"/>
  <c r="E1959" i="2"/>
  <c r="E1958" i="2"/>
  <c r="H1957" i="2"/>
  <c r="E1957" i="2"/>
  <c r="E1956" i="2"/>
  <c r="E1955" i="2"/>
  <c r="H1954" i="2"/>
  <c r="E1954" i="2"/>
  <c r="H1952" i="2"/>
  <c r="G1952" i="2"/>
  <c r="E1952" i="2"/>
  <c r="E1951" i="2"/>
  <c r="E1950" i="2"/>
  <c r="E1949" i="2"/>
  <c r="E1948" i="2"/>
  <c r="E1947" i="2"/>
  <c r="E1946" i="2"/>
  <c r="E1945" i="2"/>
  <c r="E1944" i="2"/>
  <c r="E1943" i="2"/>
  <c r="E1941" i="2"/>
  <c r="E1940" i="2"/>
  <c r="E1939" i="2"/>
  <c r="E1938" i="2"/>
  <c r="E1937" i="2"/>
  <c r="H1935" i="2"/>
  <c r="E1935" i="2"/>
  <c r="E1933" i="2"/>
  <c r="E1932" i="2"/>
  <c r="E1931" i="2"/>
  <c r="E1930" i="2"/>
  <c r="H1926" i="2"/>
  <c r="G1926" i="2"/>
  <c r="E1926" i="2"/>
  <c r="H1925" i="2"/>
  <c r="E1925" i="2"/>
  <c r="H1924" i="2"/>
  <c r="E1924" i="2"/>
  <c r="E1922" i="2"/>
  <c r="E1921" i="2"/>
  <c r="H1920" i="2"/>
  <c r="E1920" i="2"/>
  <c r="H1919" i="2"/>
  <c r="E1919" i="2"/>
  <c r="H1918" i="2"/>
  <c r="E1918" i="2"/>
  <c r="E1916" i="2"/>
  <c r="H1915" i="2"/>
  <c r="E1915" i="2"/>
  <c r="E1913" i="2"/>
  <c r="H1912" i="2"/>
  <c r="E1912" i="2"/>
  <c r="H1911" i="2"/>
  <c r="E1911" i="2"/>
  <c r="H1910" i="2"/>
  <c r="E1910" i="2"/>
  <c r="H1909" i="2"/>
  <c r="E1909" i="2"/>
  <c r="E1908" i="2"/>
  <c r="H1907" i="2"/>
  <c r="E1907" i="2"/>
  <c r="H1906" i="2"/>
  <c r="E1906" i="2"/>
  <c r="E1904" i="2"/>
  <c r="E1903" i="2"/>
  <c r="H1902" i="2"/>
  <c r="G1902" i="2"/>
  <c r="E1902" i="2"/>
  <c r="E1901" i="2"/>
  <c r="E1899" i="2"/>
  <c r="E1898" i="2"/>
  <c r="E1897" i="2"/>
  <c r="H1896" i="2"/>
  <c r="G1896" i="2"/>
  <c r="E1896" i="2"/>
  <c r="E1895" i="2"/>
  <c r="E1894" i="2"/>
  <c r="H1893" i="2"/>
  <c r="E1893" i="2"/>
  <c r="H1892" i="2"/>
  <c r="E1892" i="2"/>
  <c r="H1891" i="2"/>
  <c r="E1891" i="2"/>
  <c r="H1890" i="2"/>
  <c r="E1890" i="2"/>
  <c r="H1889" i="2"/>
  <c r="E1889" i="2"/>
  <c r="E1886" i="2"/>
  <c r="E1885" i="2"/>
  <c r="E1884" i="2"/>
  <c r="E1883" i="2"/>
  <c r="E1882" i="2"/>
  <c r="H1881" i="2"/>
  <c r="G1881" i="2"/>
  <c r="E1881" i="2"/>
  <c r="E1880" i="2"/>
  <c r="E1879" i="2"/>
  <c r="E1876" i="2"/>
  <c r="E1875" i="2"/>
  <c r="H1874" i="2"/>
  <c r="G1874" i="2"/>
  <c r="E1874" i="2"/>
  <c r="H1873" i="2"/>
  <c r="E1873" i="2"/>
  <c r="E1871" i="2"/>
  <c r="E1870" i="2"/>
  <c r="E1869" i="2"/>
  <c r="E1868" i="2"/>
  <c r="E1867" i="2"/>
  <c r="E1865" i="2"/>
  <c r="E1864" i="2"/>
  <c r="E1863" i="2"/>
  <c r="E1862" i="2"/>
  <c r="H1861" i="2"/>
  <c r="E1861" i="2"/>
  <c r="E1859" i="2"/>
  <c r="E1858" i="2"/>
  <c r="E1857" i="2"/>
  <c r="E1856" i="2"/>
  <c r="E1855" i="2"/>
  <c r="E1853" i="2"/>
  <c r="E1852" i="2"/>
  <c r="E1851" i="2"/>
  <c r="E1850" i="2"/>
  <c r="E1849" i="2"/>
  <c r="E1848" i="2"/>
  <c r="E1847" i="2"/>
  <c r="E1846" i="2"/>
  <c r="E1844" i="2"/>
  <c r="H1843" i="2"/>
  <c r="E1843" i="2"/>
  <c r="E1841" i="2"/>
  <c r="E1840" i="2"/>
  <c r="E1839" i="2"/>
  <c r="E1838" i="2"/>
  <c r="E1837" i="2"/>
  <c r="E1835" i="2"/>
  <c r="E1834" i="2"/>
  <c r="E1833" i="2"/>
  <c r="E1832" i="2"/>
  <c r="E1831" i="2"/>
  <c r="E1830" i="2"/>
  <c r="E1829" i="2"/>
  <c r="E1828" i="2"/>
  <c r="E1827" i="2"/>
  <c r="E1826" i="2"/>
  <c r="H1825" i="2"/>
  <c r="E1825" i="2"/>
  <c r="H1823" i="2"/>
  <c r="E1823" i="2"/>
  <c r="E1822" i="2"/>
  <c r="E1821" i="2"/>
  <c r="E1820" i="2"/>
  <c r="E1819" i="2"/>
  <c r="E1818" i="2"/>
  <c r="H1817" i="2"/>
  <c r="E1817" i="2"/>
  <c r="H1815" i="2"/>
  <c r="E1815" i="2"/>
  <c r="E1814" i="2"/>
  <c r="H1813" i="2"/>
  <c r="E1813" i="2"/>
  <c r="H1812" i="2"/>
  <c r="E1812" i="2"/>
  <c r="H1811" i="2"/>
  <c r="E1811" i="2"/>
  <c r="E1810" i="2"/>
  <c r="E1808" i="2"/>
  <c r="E1807" i="2"/>
  <c r="E1806" i="2"/>
  <c r="E1805" i="2"/>
  <c r="E1804" i="2"/>
  <c r="H1802" i="2"/>
  <c r="E1802" i="2"/>
  <c r="E1801" i="2"/>
  <c r="E1800" i="2"/>
  <c r="E1799" i="2"/>
  <c r="E1798" i="2"/>
  <c r="E1797" i="2"/>
  <c r="E1796" i="2"/>
  <c r="E1795" i="2"/>
  <c r="E1794" i="2"/>
  <c r="E1793" i="2"/>
  <c r="E1792" i="2"/>
  <c r="E1791" i="2"/>
  <c r="E1787" i="2"/>
  <c r="E1786" i="2"/>
  <c r="E1785" i="2"/>
  <c r="E1784" i="2"/>
  <c r="E1783" i="2"/>
  <c r="H1781" i="2"/>
  <c r="G1781" i="2"/>
  <c r="E1781" i="2"/>
  <c r="E1780" i="2"/>
  <c r="H1779" i="2"/>
  <c r="E1779" i="2"/>
  <c r="E1778" i="2"/>
  <c r="H1777" i="2"/>
  <c r="E1777" i="2"/>
  <c r="E1776" i="2"/>
  <c r="H1775" i="2"/>
  <c r="E1775" i="2"/>
  <c r="H1774" i="2"/>
  <c r="E1774" i="2"/>
  <c r="E1773" i="2"/>
  <c r="H1772" i="2"/>
  <c r="E1772" i="2"/>
  <c r="H1771" i="2"/>
  <c r="E1771" i="2"/>
  <c r="H1769" i="2"/>
  <c r="G1769" i="2"/>
  <c r="E1769" i="2"/>
  <c r="E1768" i="2"/>
  <c r="H1767" i="2"/>
  <c r="E1767" i="2"/>
  <c r="E1766" i="2"/>
  <c r="H1765" i="2"/>
  <c r="E1765" i="2"/>
  <c r="E1764" i="2"/>
  <c r="H1763" i="2"/>
  <c r="E1763" i="2"/>
  <c r="H1762" i="2"/>
  <c r="E1762" i="2"/>
  <c r="E1761" i="2"/>
  <c r="H1760" i="2"/>
  <c r="E1760" i="2"/>
  <c r="H1759" i="2"/>
  <c r="E1759" i="2"/>
  <c r="H1757" i="2"/>
  <c r="G1757" i="2"/>
  <c r="E1757" i="2"/>
  <c r="E1756" i="2"/>
  <c r="H1755" i="2"/>
  <c r="E1755" i="2"/>
  <c r="E1754" i="2"/>
  <c r="H1753" i="2"/>
  <c r="E1753" i="2"/>
  <c r="E1752" i="2"/>
  <c r="H1751" i="2"/>
  <c r="E1751" i="2"/>
  <c r="H1750" i="2"/>
  <c r="E1750" i="2"/>
  <c r="E1749" i="2"/>
  <c r="H1748" i="2"/>
  <c r="E1748" i="2"/>
  <c r="H1747" i="2"/>
  <c r="E1747" i="2"/>
  <c r="H1745" i="2"/>
  <c r="G1745" i="2"/>
  <c r="E1745" i="2"/>
  <c r="E1744" i="2"/>
  <c r="H1743" i="2"/>
  <c r="E1743" i="2"/>
  <c r="E1742" i="2"/>
  <c r="H1741" i="2"/>
  <c r="E1741" i="2"/>
  <c r="E1740" i="2"/>
  <c r="H1739" i="2"/>
  <c r="E1739" i="2"/>
  <c r="H1738" i="2"/>
  <c r="E1738" i="2"/>
  <c r="E1737" i="2"/>
  <c r="H1736" i="2"/>
  <c r="E1736" i="2"/>
  <c r="H1735" i="2"/>
  <c r="E1735" i="2"/>
  <c r="E1731" i="2"/>
  <c r="E1730" i="2"/>
  <c r="E1729" i="2"/>
  <c r="H1728" i="2"/>
  <c r="E1728" i="2"/>
  <c r="E1727" i="2"/>
  <c r="E1726" i="2"/>
  <c r="E1725" i="2"/>
  <c r="E1724" i="2"/>
  <c r="E1723" i="2"/>
  <c r="H1722" i="2"/>
  <c r="E1722" i="2"/>
  <c r="H1721" i="2"/>
  <c r="E1721" i="2"/>
  <c r="H1720" i="2"/>
  <c r="E1720" i="2"/>
  <c r="E1719" i="2"/>
  <c r="E1718" i="2"/>
  <c r="E1717" i="2"/>
  <c r="H1716" i="2"/>
  <c r="F1716" i="2"/>
  <c r="E1716" i="2"/>
  <c r="H1715" i="2"/>
  <c r="F1715" i="2"/>
  <c r="E1715" i="2"/>
  <c r="H1714" i="2"/>
  <c r="F1714" i="2"/>
  <c r="E1714" i="2"/>
  <c r="H1713" i="2"/>
  <c r="F1713" i="2"/>
  <c r="E1713" i="2"/>
  <c r="H1712" i="2"/>
  <c r="F1712" i="2"/>
  <c r="E1712" i="2"/>
  <c r="F1710" i="2"/>
  <c r="E1710" i="2"/>
  <c r="B1710" i="2"/>
  <c r="F1709" i="2"/>
  <c r="E1709" i="2"/>
  <c r="B1709" i="2"/>
  <c r="F1708" i="2"/>
  <c r="E1708" i="2"/>
  <c r="B1708" i="2"/>
  <c r="F1707" i="2"/>
  <c r="E1707" i="2"/>
  <c r="B1707" i="2"/>
  <c r="F1705" i="2"/>
  <c r="E1705" i="2"/>
  <c r="B1705" i="2"/>
  <c r="F1704" i="2"/>
  <c r="E1704" i="2"/>
  <c r="B1704" i="2"/>
  <c r="F1703" i="2"/>
  <c r="E1703" i="2"/>
  <c r="B1703" i="2"/>
  <c r="F1702" i="2"/>
  <c r="E1702" i="2"/>
  <c r="B1702" i="2"/>
  <c r="F1700" i="2"/>
  <c r="E1700" i="2"/>
  <c r="B1700" i="2"/>
  <c r="F1699" i="2"/>
  <c r="E1699" i="2"/>
  <c r="B1699" i="2"/>
  <c r="F1698" i="2"/>
  <c r="E1698" i="2"/>
  <c r="B1698" i="2"/>
  <c r="F1697" i="2"/>
  <c r="E1697" i="2"/>
  <c r="F1694" i="2"/>
  <c r="E1694" i="2"/>
  <c r="F1693" i="2"/>
  <c r="E1693" i="2"/>
  <c r="F1692" i="2"/>
  <c r="E1692" i="2"/>
  <c r="F1691" i="2"/>
  <c r="E1691" i="2"/>
  <c r="B1691" i="2"/>
  <c r="F1690" i="2"/>
  <c r="E1690" i="2"/>
  <c r="F1689" i="2"/>
  <c r="E1689" i="2"/>
  <c r="F1688" i="2"/>
  <c r="E1688" i="2"/>
  <c r="F1687" i="2"/>
  <c r="E1687" i="2"/>
  <c r="B1687" i="2"/>
  <c r="F1685" i="2"/>
  <c r="E1685" i="2"/>
  <c r="F1684" i="2"/>
  <c r="E1684" i="2"/>
  <c r="F1683" i="2"/>
  <c r="E1683" i="2"/>
  <c r="F1682" i="2"/>
  <c r="E1682" i="2"/>
  <c r="F1681" i="2"/>
  <c r="E1681" i="2"/>
  <c r="F1680" i="2"/>
  <c r="E1680" i="2"/>
  <c r="F1679" i="2"/>
  <c r="E1679" i="2"/>
  <c r="F1678" i="2"/>
  <c r="E1678" i="2"/>
  <c r="B1678" i="2"/>
  <c r="F1677" i="2"/>
  <c r="E1677" i="2"/>
  <c r="F1676" i="2"/>
  <c r="E1676" i="2"/>
  <c r="F1675" i="2"/>
  <c r="E1675" i="2"/>
  <c r="F1674" i="2"/>
  <c r="E1674" i="2"/>
  <c r="F1673" i="2"/>
  <c r="E1673" i="2"/>
  <c r="F1672" i="2"/>
  <c r="E1672" i="2"/>
  <c r="F1671" i="2"/>
  <c r="E1671" i="2"/>
  <c r="F1670" i="2"/>
  <c r="E1670" i="2"/>
  <c r="B1670" i="2"/>
  <c r="F1668" i="2"/>
  <c r="E1668" i="2"/>
  <c r="F1667" i="2"/>
  <c r="E1667" i="2"/>
  <c r="F1666" i="2"/>
  <c r="E1666" i="2"/>
  <c r="F1665" i="2"/>
  <c r="E1665" i="2"/>
  <c r="F1664" i="2"/>
  <c r="E1664" i="2"/>
  <c r="B1664" i="2"/>
  <c r="F1663" i="2"/>
  <c r="E1663" i="2"/>
  <c r="F1662" i="2"/>
  <c r="E1662" i="2"/>
  <c r="F1661" i="2"/>
  <c r="E1661" i="2"/>
  <c r="F1660" i="2"/>
  <c r="E1660" i="2"/>
  <c r="F1659" i="2"/>
  <c r="E1659" i="2"/>
  <c r="B1659" i="2"/>
  <c r="F1657" i="2"/>
  <c r="E1657" i="2"/>
  <c r="F1656" i="2"/>
  <c r="E1656" i="2"/>
  <c r="F1655" i="2"/>
  <c r="E1655" i="2"/>
  <c r="F1654" i="2"/>
  <c r="E1654" i="2"/>
  <c r="F1653" i="2"/>
  <c r="E1653" i="2"/>
  <c r="F1652" i="2"/>
  <c r="E1652" i="2"/>
  <c r="F1651" i="2"/>
  <c r="E1651" i="2"/>
  <c r="F1650" i="2"/>
  <c r="E1650" i="2"/>
  <c r="F1649" i="2"/>
  <c r="E1649" i="2"/>
  <c r="B1649" i="2"/>
  <c r="F1648" i="2"/>
  <c r="E1648" i="2"/>
  <c r="F1647" i="2"/>
  <c r="E1647" i="2"/>
  <c r="F1646" i="2"/>
  <c r="E1646" i="2"/>
  <c r="F1645" i="2"/>
  <c r="E1645" i="2"/>
  <c r="F1644" i="2"/>
  <c r="E1644" i="2"/>
  <c r="F1643" i="2"/>
  <c r="E1643" i="2"/>
  <c r="F1642" i="2"/>
  <c r="E1642" i="2"/>
  <c r="F1641" i="2"/>
  <c r="E1641" i="2"/>
  <c r="F1640" i="2"/>
  <c r="E1640" i="2"/>
  <c r="B1640" i="2"/>
  <c r="F1638" i="2"/>
  <c r="E1638" i="2"/>
  <c r="F1637" i="2"/>
  <c r="E1637" i="2"/>
  <c r="F1636" i="2"/>
  <c r="E1636" i="2"/>
  <c r="F1635" i="2"/>
  <c r="E1635" i="2"/>
  <c r="F1634" i="2"/>
  <c r="E1634" i="2"/>
  <c r="F1633" i="2"/>
  <c r="E1633" i="2"/>
  <c r="B1633" i="2"/>
  <c r="F1632" i="2"/>
  <c r="E1632" i="2"/>
  <c r="F1631" i="2"/>
  <c r="E1631" i="2"/>
  <c r="F1630" i="2"/>
  <c r="E1630" i="2"/>
  <c r="F1629" i="2"/>
  <c r="E1629" i="2"/>
  <c r="F1628" i="2"/>
  <c r="E1628" i="2"/>
  <c r="F1627" i="2"/>
  <c r="E1627" i="2"/>
  <c r="F1624" i="2"/>
  <c r="E1624" i="2"/>
  <c r="F1623" i="2"/>
  <c r="E1623" i="2"/>
  <c r="F1622" i="2"/>
  <c r="E1622" i="2"/>
  <c r="F1621" i="2"/>
  <c r="E1621" i="2"/>
  <c r="B1621" i="2"/>
  <c r="F1619" i="2"/>
  <c r="E1619" i="2"/>
  <c r="F1618" i="2"/>
  <c r="E1618" i="2"/>
  <c r="F1617" i="2"/>
  <c r="E1617" i="2"/>
  <c r="F1616" i="2"/>
  <c r="E1616" i="2"/>
  <c r="F1615" i="2"/>
  <c r="E1615" i="2"/>
  <c r="F1614" i="2"/>
  <c r="E1614" i="2"/>
  <c r="F1613" i="2"/>
  <c r="E1613" i="2"/>
  <c r="F1612" i="2"/>
  <c r="E1612" i="2"/>
  <c r="F1611" i="2"/>
  <c r="E1611" i="2"/>
  <c r="H1609" i="2"/>
  <c r="F1609" i="2"/>
  <c r="E1609" i="2"/>
  <c r="B1609" i="2"/>
  <c r="H1608" i="2"/>
  <c r="F1608" i="2"/>
  <c r="E1608" i="2"/>
  <c r="B1608" i="2"/>
  <c r="F1607" i="2"/>
  <c r="E1607" i="2"/>
  <c r="F1606" i="2"/>
  <c r="E1606" i="2"/>
  <c r="F1605" i="2"/>
  <c r="E1605" i="2"/>
  <c r="F1604" i="2"/>
  <c r="E1604" i="2"/>
  <c r="F1603" i="2"/>
  <c r="E1603" i="2"/>
  <c r="F1602" i="2"/>
  <c r="E1602" i="2"/>
  <c r="F1601" i="2"/>
  <c r="E1601" i="2"/>
  <c r="F1600" i="2"/>
  <c r="E1600" i="2"/>
  <c r="F1599" i="2"/>
  <c r="E1599" i="2"/>
  <c r="F1598" i="2"/>
  <c r="E1598" i="2"/>
  <c r="F1597" i="2"/>
  <c r="E1597" i="2"/>
  <c r="F1596" i="2"/>
  <c r="E1596" i="2"/>
  <c r="F1595" i="2"/>
  <c r="E1595" i="2"/>
  <c r="F1594" i="2"/>
  <c r="E1594" i="2"/>
  <c r="F1592" i="2"/>
  <c r="E1592" i="2"/>
  <c r="F1591" i="2"/>
  <c r="E1591" i="2"/>
  <c r="F1590" i="2"/>
  <c r="E1590" i="2"/>
  <c r="F1589" i="2"/>
  <c r="E1589" i="2"/>
  <c r="F1588" i="2"/>
  <c r="E1588" i="2"/>
  <c r="F1587" i="2"/>
  <c r="E1587" i="2"/>
  <c r="F1586" i="2"/>
  <c r="E1586" i="2"/>
  <c r="F1585" i="2"/>
  <c r="E1585" i="2"/>
  <c r="F1584" i="2"/>
  <c r="E1584" i="2"/>
  <c r="F1583" i="2"/>
  <c r="E1583" i="2"/>
  <c r="F1582" i="2"/>
  <c r="E1582" i="2"/>
  <c r="B1582" i="2"/>
  <c r="F1580" i="2"/>
  <c r="E1580" i="2"/>
  <c r="B1580" i="2"/>
  <c r="F1579" i="2"/>
  <c r="E1579" i="2"/>
  <c r="B1579" i="2"/>
  <c r="F1578" i="2"/>
  <c r="E1578" i="2"/>
  <c r="B1578" i="2"/>
  <c r="F1577" i="2"/>
  <c r="E1577" i="2"/>
  <c r="B1577" i="2"/>
  <c r="F1576" i="2"/>
  <c r="E1576" i="2"/>
  <c r="B1576" i="2"/>
  <c r="F1575" i="2"/>
  <c r="E1575" i="2"/>
  <c r="B1575" i="2"/>
  <c r="F1574" i="2"/>
  <c r="E1574" i="2"/>
  <c r="F1573" i="2"/>
  <c r="E1573" i="2"/>
  <c r="B1573" i="2"/>
  <c r="F1572" i="2"/>
  <c r="E1572" i="2"/>
  <c r="B1572" i="2"/>
  <c r="F1571" i="2"/>
  <c r="E1571" i="2"/>
  <c r="F1570" i="2"/>
  <c r="E1570" i="2"/>
  <c r="F1569" i="2"/>
  <c r="E1569" i="2"/>
  <c r="F1568" i="2"/>
  <c r="E1568" i="2"/>
  <c r="F1567" i="2"/>
  <c r="E1567" i="2"/>
  <c r="F1566" i="2"/>
  <c r="E1566" i="2"/>
  <c r="B1566" i="2"/>
  <c r="F1564" i="2"/>
  <c r="E1564" i="2"/>
  <c r="F1563" i="2"/>
  <c r="E1563" i="2"/>
  <c r="F1562" i="2"/>
  <c r="E1562" i="2"/>
  <c r="F1561" i="2"/>
  <c r="E1561" i="2"/>
  <c r="F1560" i="2"/>
  <c r="E1560" i="2"/>
  <c r="F1559" i="2"/>
  <c r="E1559" i="2"/>
  <c r="F1558" i="2"/>
  <c r="E1558" i="2"/>
  <c r="F1557" i="2"/>
  <c r="E1557" i="2"/>
  <c r="F1556" i="2"/>
  <c r="E1556" i="2"/>
  <c r="B1556" i="2"/>
  <c r="F1554" i="2"/>
  <c r="E1554" i="2"/>
  <c r="F1553" i="2"/>
  <c r="E1553" i="2"/>
  <c r="F1552" i="2"/>
  <c r="E1552" i="2"/>
  <c r="F1551" i="2"/>
  <c r="E1551" i="2"/>
  <c r="F1550" i="2"/>
  <c r="E1550" i="2"/>
  <c r="F1549" i="2"/>
  <c r="E1549" i="2"/>
  <c r="F1548" i="2"/>
  <c r="E1548" i="2"/>
  <c r="F1547" i="2"/>
  <c r="E1547" i="2"/>
  <c r="F1546" i="2"/>
  <c r="E1546" i="2"/>
  <c r="B1546" i="2"/>
  <c r="F1544" i="2"/>
  <c r="E1544" i="2"/>
  <c r="F1541" i="2"/>
  <c r="E1541" i="2"/>
  <c r="B1541" i="2"/>
  <c r="F1540" i="2"/>
  <c r="E1540" i="2"/>
  <c r="F1539" i="2"/>
  <c r="E1539" i="2"/>
  <c r="F1538" i="2"/>
  <c r="E1538" i="2"/>
  <c r="F1537" i="2"/>
  <c r="E1537" i="2"/>
  <c r="F1536" i="2"/>
  <c r="E1536" i="2"/>
  <c r="F1535" i="2"/>
  <c r="E1535" i="2"/>
  <c r="F1534" i="2"/>
  <c r="E1534" i="2"/>
  <c r="F1533" i="2"/>
  <c r="E1533" i="2"/>
  <c r="F1532" i="2"/>
  <c r="E1532" i="2"/>
  <c r="B1532" i="2"/>
  <c r="F1531" i="2"/>
  <c r="E1531" i="2"/>
  <c r="B1531" i="2"/>
  <c r="F1529" i="2"/>
  <c r="E1529" i="2"/>
  <c r="B1529" i="2"/>
  <c r="F1528" i="2"/>
  <c r="E1528" i="2"/>
  <c r="B1528" i="2"/>
  <c r="F1527" i="2"/>
  <c r="E1527" i="2"/>
  <c r="B1527" i="2"/>
  <c r="F1526" i="2"/>
  <c r="E1526" i="2"/>
  <c r="B1526" i="2"/>
  <c r="F1525" i="2"/>
  <c r="E1525" i="2"/>
  <c r="B1525" i="2"/>
  <c r="F1524" i="2"/>
  <c r="E1524" i="2"/>
  <c r="B1524" i="2"/>
  <c r="F1523" i="2"/>
  <c r="E1523" i="2"/>
  <c r="F1522" i="2"/>
  <c r="E1522" i="2"/>
  <c r="F1521" i="2"/>
  <c r="E1521" i="2"/>
  <c r="F1520" i="2"/>
  <c r="E1520" i="2"/>
  <c r="F1519" i="2"/>
  <c r="E1519" i="2"/>
  <c r="F1518" i="2"/>
  <c r="E1518" i="2"/>
  <c r="B1518" i="2"/>
  <c r="F1517" i="2"/>
  <c r="E1517" i="2"/>
  <c r="B1517" i="2"/>
  <c r="F1516" i="2"/>
  <c r="E1516" i="2"/>
  <c r="B1516" i="2"/>
  <c r="F1515" i="2"/>
  <c r="E1515" i="2"/>
  <c r="B1515" i="2"/>
  <c r="F1514" i="2"/>
  <c r="E1514" i="2"/>
  <c r="B1514" i="2"/>
  <c r="F1513" i="2"/>
  <c r="E1513" i="2"/>
  <c r="B1513" i="2"/>
  <c r="F1511" i="2"/>
  <c r="E1511" i="2"/>
  <c r="B1511" i="2"/>
  <c r="F1510" i="2"/>
  <c r="E1510" i="2"/>
  <c r="B1510" i="2"/>
  <c r="F1509" i="2"/>
  <c r="E1509" i="2"/>
  <c r="B1509" i="2"/>
  <c r="F1508" i="2"/>
  <c r="E1508" i="2"/>
  <c r="B1508" i="2"/>
  <c r="F1507" i="2"/>
  <c r="E1507" i="2"/>
  <c r="B1507" i="2"/>
  <c r="F1506" i="2"/>
  <c r="E1506" i="2"/>
  <c r="B1506" i="2"/>
  <c r="F1505" i="2"/>
  <c r="E1505" i="2"/>
  <c r="B1505" i="2"/>
  <c r="F1504" i="2"/>
  <c r="E1504" i="2"/>
  <c r="F1503" i="2"/>
  <c r="E1503" i="2"/>
  <c r="F1501" i="2"/>
  <c r="E1501" i="2"/>
  <c r="F1500" i="2"/>
  <c r="E1500" i="2"/>
  <c r="F1499" i="2"/>
  <c r="E1499" i="2"/>
  <c r="F1498" i="2"/>
  <c r="E1498" i="2"/>
  <c r="B1498" i="2"/>
  <c r="F1497" i="2"/>
  <c r="E1497" i="2"/>
  <c r="F1496" i="2"/>
  <c r="E1496" i="2"/>
  <c r="F1495" i="2"/>
  <c r="E1495" i="2"/>
  <c r="F1494" i="2"/>
  <c r="E1494" i="2"/>
  <c r="F1493" i="2"/>
  <c r="E1493" i="2"/>
  <c r="F1492" i="2"/>
  <c r="E1492" i="2"/>
  <c r="F1491" i="2"/>
  <c r="E1491" i="2"/>
  <c r="F1490" i="2"/>
  <c r="E1490" i="2"/>
  <c r="F1489" i="2"/>
  <c r="E1489" i="2"/>
  <c r="F1488" i="2"/>
  <c r="E1488" i="2"/>
  <c r="F1487" i="2"/>
  <c r="E1487" i="2"/>
  <c r="B1487" i="2"/>
  <c r="F1485" i="2"/>
  <c r="E1485" i="2"/>
  <c r="B1485" i="2"/>
  <c r="F1484" i="2"/>
  <c r="E1484" i="2"/>
  <c r="B1484" i="2"/>
  <c r="F1483" i="2"/>
  <c r="E1483" i="2"/>
  <c r="B1483" i="2"/>
  <c r="F1482" i="2"/>
  <c r="E1482" i="2"/>
  <c r="B1482" i="2"/>
  <c r="F1481" i="2"/>
  <c r="E1481" i="2"/>
  <c r="F1480" i="2"/>
  <c r="E1480" i="2"/>
  <c r="F1479" i="2"/>
  <c r="E1479" i="2"/>
  <c r="B1479" i="2"/>
  <c r="F1478" i="2"/>
  <c r="E1478" i="2"/>
  <c r="F1477" i="2"/>
  <c r="E1477" i="2"/>
  <c r="F1476" i="2"/>
  <c r="E1476" i="2"/>
  <c r="F1475" i="2"/>
  <c r="E1475" i="2"/>
  <c r="B1475" i="2"/>
  <c r="F1474" i="2"/>
  <c r="E1474" i="2"/>
  <c r="B1474" i="2"/>
  <c r="F1471" i="2"/>
  <c r="E1471" i="2"/>
  <c r="B1471" i="2"/>
  <c r="F1470" i="2"/>
  <c r="E1470" i="2"/>
  <c r="B1470" i="2"/>
  <c r="F1469" i="2"/>
  <c r="E1469" i="2"/>
  <c r="B1469" i="2"/>
  <c r="F1468" i="2"/>
  <c r="E1468" i="2"/>
  <c r="B1468" i="2"/>
  <c r="F1467" i="2"/>
  <c r="E1467" i="2"/>
  <c r="B1467" i="2"/>
  <c r="F1466" i="2"/>
  <c r="E1466" i="2"/>
  <c r="B1466" i="2"/>
  <c r="F1465" i="2"/>
  <c r="E1465" i="2"/>
  <c r="B1465" i="2"/>
  <c r="F1464" i="2"/>
  <c r="E1464" i="2"/>
  <c r="B1464" i="2"/>
  <c r="F1463" i="2"/>
  <c r="E1463" i="2"/>
  <c r="B1463" i="2"/>
  <c r="E1461" i="2"/>
  <c r="B1461" i="2"/>
  <c r="E1460" i="2"/>
  <c r="B1460" i="2"/>
  <c r="F1459" i="2"/>
  <c r="E1459" i="2"/>
  <c r="F1458" i="2"/>
  <c r="E1458" i="2"/>
  <c r="F1457" i="2"/>
  <c r="E1457" i="2"/>
  <c r="F1456" i="2"/>
  <c r="E1456" i="2"/>
  <c r="F1455" i="2"/>
  <c r="E1455" i="2"/>
  <c r="F1454" i="2"/>
  <c r="E1454" i="2"/>
  <c r="F1453" i="2"/>
  <c r="E1453" i="2"/>
  <c r="F1452" i="2"/>
  <c r="E1452" i="2"/>
  <c r="F1451" i="2"/>
  <c r="E1451" i="2"/>
  <c r="F1450" i="2"/>
  <c r="E1450" i="2"/>
  <c r="B1450" i="2"/>
  <c r="H1449" i="2"/>
  <c r="F1449" i="2"/>
  <c r="E1449" i="2"/>
  <c r="B1449" i="2"/>
  <c r="F1448" i="2"/>
  <c r="E1448" i="2"/>
  <c r="F1447" i="2"/>
  <c r="E1447" i="2"/>
  <c r="B1447" i="2"/>
  <c r="F1446" i="2"/>
  <c r="E1446" i="2"/>
  <c r="F1445" i="2"/>
  <c r="E1445" i="2"/>
  <c r="F1444" i="2"/>
  <c r="E1444" i="2"/>
  <c r="F1443" i="2"/>
  <c r="E1443" i="2"/>
  <c r="F1442" i="2"/>
  <c r="E1442" i="2"/>
  <c r="B1442" i="2"/>
  <c r="F1441" i="2"/>
  <c r="E1441" i="2"/>
  <c r="F1440" i="2"/>
  <c r="E1440" i="2"/>
  <c r="F1439" i="2"/>
  <c r="E1439" i="2"/>
  <c r="F1438" i="2"/>
  <c r="E1438" i="2"/>
  <c r="B1438" i="2"/>
  <c r="F1437" i="2"/>
  <c r="E1437" i="2"/>
  <c r="F1436" i="2"/>
  <c r="E1436" i="2"/>
  <c r="F1435" i="2"/>
  <c r="E1435" i="2"/>
  <c r="F1434" i="2"/>
  <c r="E1434" i="2"/>
  <c r="F1433" i="2"/>
  <c r="E1433" i="2"/>
  <c r="F1432" i="2"/>
  <c r="E1432" i="2"/>
  <c r="F1431" i="2"/>
  <c r="E1431" i="2"/>
  <c r="B1431" i="2"/>
  <c r="F1430" i="2"/>
  <c r="E1430" i="2"/>
  <c r="F1429" i="2"/>
  <c r="E1429" i="2"/>
  <c r="F1428" i="2"/>
  <c r="E1428" i="2"/>
  <c r="F1427" i="2"/>
  <c r="E1427" i="2"/>
  <c r="F1426" i="2"/>
  <c r="E1426" i="2"/>
  <c r="F1425" i="2"/>
  <c r="E1425" i="2"/>
  <c r="F1424" i="2"/>
  <c r="E1424" i="2"/>
  <c r="F1423" i="2"/>
  <c r="E1423" i="2"/>
  <c r="F1422" i="2"/>
  <c r="E1422" i="2"/>
  <c r="B1422" i="2"/>
  <c r="F1421" i="2"/>
  <c r="E1421" i="2"/>
  <c r="F1420" i="2"/>
  <c r="E1420" i="2"/>
  <c r="F1419" i="2"/>
  <c r="E1419" i="2"/>
  <c r="F1418" i="2"/>
  <c r="E1418" i="2"/>
  <c r="F1417" i="2"/>
  <c r="E1417" i="2"/>
  <c r="F1416" i="2"/>
  <c r="E1416" i="2"/>
  <c r="F1415" i="2"/>
  <c r="E1415" i="2"/>
  <c r="F1414" i="2"/>
  <c r="E1414" i="2"/>
  <c r="B1414" i="2"/>
  <c r="F1413" i="2"/>
  <c r="E1413" i="2"/>
  <c r="F1412" i="2"/>
  <c r="E1412" i="2"/>
  <c r="F1411" i="2"/>
  <c r="E1411" i="2"/>
  <c r="F1410" i="2"/>
  <c r="E1410" i="2"/>
  <c r="F1409" i="2"/>
  <c r="E1409" i="2"/>
  <c r="B1409" i="2"/>
  <c r="F1408" i="2"/>
  <c r="E1408" i="2"/>
  <c r="F1407" i="2"/>
  <c r="E1407" i="2"/>
  <c r="F1406" i="2"/>
  <c r="E1406" i="2"/>
  <c r="F1405" i="2"/>
  <c r="E1405" i="2"/>
  <c r="F1404" i="2"/>
  <c r="E1404" i="2"/>
  <c r="B1404" i="2"/>
  <c r="F1403" i="2"/>
  <c r="E1403" i="2"/>
  <c r="F1402" i="2"/>
  <c r="E1402" i="2"/>
  <c r="E1401" i="2"/>
  <c r="F1400" i="2"/>
  <c r="E1400" i="2"/>
  <c r="B1400" i="2"/>
  <c r="F1399" i="2"/>
  <c r="E1399" i="2"/>
  <c r="F1398" i="2"/>
  <c r="E1398" i="2"/>
  <c r="F1397" i="2"/>
  <c r="E1397" i="2"/>
  <c r="B1397" i="2"/>
  <c r="F1396" i="2"/>
  <c r="E1396" i="2"/>
  <c r="B1396" i="2"/>
  <c r="F1394" i="2"/>
  <c r="E1394" i="2"/>
  <c r="F1393" i="2"/>
  <c r="E1393" i="2"/>
  <c r="F1392" i="2"/>
  <c r="E1392" i="2"/>
  <c r="F1391" i="2"/>
  <c r="E1391" i="2"/>
  <c r="F1390" i="2"/>
  <c r="E1390" i="2"/>
  <c r="B1390" i="2"/>
  <c r="F1389" i="2"/>
  <c r="E1389" i="2"/>
  <c r="B1389" i="2"/>
  <c r="F1388" i="2"/>
  <c r="E1388" i="2"/>
  <c r="F1387" i="2"/>
  <c r="E1387" i="2"/>
  <c r="B1387" i="2"/>
  <c r="F1386" i="2"/>
  <c r="E1386" i="2"/>
  <c r="F1385" i="2"/>
  <c r="E1385" i="2"/>
  <c r="B1385" i="2"/>
  <c r="F1383" i="2"/>
  <c r="E1383" i="2"/>
  <c r="F1382" i="2"/>
  <c r="E1382" i="2"/>
  <c r="F1381" i="2"/>
  <c r="E1381" i="2"/>
  <c r="F1380" i="2"/>
  <c r="E1380" i="2"/>
  <c r="B1380" i="2"/>
  <c r="F1379" i="2"/>
  <c r="E1379" i="2"/>
  <c r="F1378" i="2"/>
  <c r="E1378" i="2"/>
  <c r="F1377" i="2"/>
  <c r="E1377" i="2"/>
  <c r="F1376" i="2"/>
  <c r="E1376" i="2"/>
  <c r="B1376" i="2"/>
  <c r="F1375" i="2"/>
  <c r="E1375" i="2"/>
  <c r="F1374" i="2"/>
  <c r="E1374" i="2"/>
  <c r="F1373" i="2"/>
  <c r="E1373" i="2"/>
  <c r="F1372" i="2"/>
  <c r="E1372" i="2"/>
  <c r="B1372" i="2"/>
  <c r="F1370" i="2"/>
  <c r="E1370" i="2"/>
  <c r="F1369" i="2"/>
  <c r="E1369" i="2"/>
  <c r="B1369" i="2"/>
  <c r="F1368" i="2"/>
  <c r="E1368" i="2"/>
  <c r="F1367" i="2"/>
  <c r="E1367" i="2"/>
  <c r="B1367" i="2"/>
  <c r="F1365" i="2"/>
  <c r="E1365" i="2"/>
  <c r="B1365" i="2"/>
  <c r="F1364" i="2"/>
  <c r="E1364" i="2"/>
  <c r="B1364" i="2"/>
  <c r="F1363" i="2"/>
  <c r="E1363" i="2"/>
  <c r="B1363" i="2"/>
  <c r="F1362" i="2"/>
  <c r="E1362" i="2"/>
  <c r="B1362" i="2"/>
  <c r="F1361" i="2"/>
  <c r="E1361" i="2"/>
  <c r="F1360" i="2"/>
  <c r="E1360" i="2"/>
  <c r="F1359" i="2"/>
  <c r="E1359" i="2"/>
  <c r="B1359" i="2"/>
  <c r="F1358" i="2"/>
  <c r="E1358" i="2"/>
  <c r="B1358" i="2"/>
  <c r="F1357" i="2"/>
  <c r="E1357" i="2"/>
  <c r="B1357" i="2"/>
  <c r="F1356" i="2"/>
  <c r="E1356" i="2"/>
  <c r="F1355" i="2"/>
  <c r="E1355" i="2"/>
  <c r="B1355" i="2"/>
  <c r="F1354" i="2"/>
  <c r="E1354" i="2"/>
  <c r="B1354" i="2"/>
  <c r="F1353" i="2"/>
  <c r="E1353" i="2"/>
  <c r="B1353" i="2"/>
  <c r="F1352" i="2"/>
  <c r="E1352" i="2"/>
  <c r="F1351" i="2"/>
  <c r="E1351" i="2"/>
  <c r="B1351" i="2"/>
  <c r="F1349" i="2"/>
  <c r="E1349" i="2"/>
  <c r="F1348" i="2"/>
  <c r="E1348" i="2"/>
  <c r="F1347" i="2"/>
  <c r="E1347" i="2"/>
  <c r="F1346" i="2"/>
  <c r="E1346" i="2"/>
  <c r="F1345" i="2"/>
  <c r="E1345" i="2"/>
  <c r="F1344" i="2"/>
  <c r="E1344" i="2"/>
  <c r="B1344" i="2"/>
  <c r="F1342" i="2"/>
  <c r="E1342" i="2"/>
  <c r="H1341" i="2"/>
  <c r="F1341" i="2"/>
  <c r="E1341" i="2"/>
  <c r="F1340" i="2"/>
  <c r="E1340" i="2"/>
  <c r="F1339" i="2"/>
  <c r="E1339" i="2"/>
  <c r="F1338" i="2"/>
  <c r="E1338" i="2"/>
  <c r="F1337" i="2"/>
  <c r="E1337" i="2"/>
  <c r="F1336" i="2"/>
  <c r="E1336" i="2"/>
  <c r="F1335" i="2"/>
  <c r="E1335" i="2"/>
  <c r="B1335" i="2"/>
  <c r="F1333" i="2"/>
  <c r="E1333" i="2"/>
  <c r="F1332" i="2"/>
  <c r="E1332" i="2"/>
  <c r="B1332" i="2"/>
  <c r="F1331" i="2"/>
  <c r="E1331" i="2"/>
  <c r="F1330" i="2"/>
  <c r="E1330" i="2"/>
  <c r="B1330" i="2"/>
  <c r="F1329" i="2"/>
  <c r="E1329" i="2"/>
  <c r="F1328" i="2"/>
  <c r="E1328" i="2"/>
  <c r="F1327" i="2"/>
  <c r="E1327" i="2"/>
  <c r="B1327" i="2"/>
  <c r="F1326" i="2"/>
  <c r="E1326" i="2"/>
  <c r="F1325" i="2"/>
  <c r="E1325" i="2"/>
  <c r="F1324" i="2"/>
  <c r="E1324" i="2"/>
  <c r="B1324" i="2"/>
  <c r="F1322" i="2"/>
  <c r="E1322" i="2"/>
  <c r="F1321" i="2"/>
  <c r="E1321" i="2"/>
  <c r="F1320" i="2"/>
  <c r="E1320" i="2"/>
  <c r="B1320" i="2"/>
  <c r="F1319" i="2"/>
  <c r="E1319" i="2"/>
  <c r="F1318" i="2"/>
  <c r="E1318" i="2"/>
  <c r="F1317" i="2"/>
  <c r="E1317" i="2"/>
  <c r="B1317" i="2"/>
  <c r="F1315" i="2"/>
  <c r="E1315" i="2"/>
  <c r="F1314" i="2"/>
  <c r="E1314" i="2"/>
  <c r="F1313" i="2"/>
  <c r="E1313" i="2"/>
  <c r="B1313" i="2"/>
  <c r="F1312" i="2"/>
  <c r="E1312" i="2"/>
  <c r="F1311" i="2"/>
  <c r="E1311" i="2"/>
  <c r="F1310" i="2"/>
  <c r="E1310" i="2"/>
  <c r="B1310" i="2"/>
  <c r="F1308" i="2"/>
  <c r="E1308" i="2"/>
  <c r="F1307" i="2"/>
  <c r="E1307" i="2"/>
  <c r="F1306" i="2"/>
  <c r="E1306" i="2"/>
  <c r="B1306" i="2"/>
  <c r="F1305" i="2"/>
  <c r="E1305" i="2"/>
  <c r="F1304" i="2"/>
  <c r="E1304" i="2"/>
  <c r="F1303" i="2"/>
  <c r="E1303" i="2"/>
  <c r="B1303" i="2"/>
  <c r="F1300" i="2"/>
  <c r="E1300" i="2"/>
  <c r="F1299" i="2"/>
  <c r="E1299" i="2"/>
  <c r="F1298" i="2"/>
  <c r="E1298" i="2"/>
  <c r="B1298" i="2"/>
  <c r="F1297" i="2"/>
  <c r="E1297" i="2"/>
  <c r="F1296" i="2"/>
  <c r="E1296" i="2"/>
  <c r="F1295" i="2"/>
  <c r="E1295" i="2"/>
  <c r="B1295" i="2"/>
  <c r="F1293" i="2"/>
  <c r="E1293" i="2"/>
  <c r="F1292" i="2"/>
  <c r="E1292" i="2"/>
  <c r="F1291" i="2"/>
  <c r="E1291" i="2"/>
  <c r="B1291" i="2"/>
  <c r="F1290" i="2"/>
  <c r="E1290" i="2"/>
  <c r="F1289" i="2"/>
  <c r="E1289" i="2"/>
  <c r="F1288" i="2"/>
  <c r="E1288" i="2"/>
  <c r="B1288" i="2"/>
  <c r="F1286" i="2"/>
  <c r="E1286" i="2"/>
  <c r="F1285" i="2"/>
  <c r="E1285" i="2"/>
  <c r="F1284" i="2"/>
  <c r="E1284" i="2"/>
  <c r="B1284" i="2"/>
  <c r="F1283" i="2"/>
  <c r="E1283" i="2"/>
  <c r="F1282" i="2"/>
  <c r="E1282" i="2"/>
  <c r="F1281" i="2"/>
  <c r="E1281" i="2"/>
  <c r="B1281" i="2"/>
  <c r="F1279" i="2"/>
  <c r="E1279" i="2"/>
  <c r="F1278" i="2"/>
  <c r="E1278" i="2"/>
  <c r="F1277" i="2"/>
  <c r="E1277" i="2"/>
  <c r="B1277" i="2"/>
  <c r="F1276" i="2"/>
  <c r="E1276" i="2"/>
  <c r="F1275" i="2"/>
  <c r="E1275" i="2"/>
  <c r="F1274" i="2"/>
  <c r="E1274" i="2"/>
  <c r="B1274" i="2"/>
  <c r="F1271" i="2"/>
  <c r="E1271" i="2"/>
  <c r="F1270" i="2"/>
  <c r="E1270" i="2"/>
  <c r="F1269" i="2"/>
  <c r="E1269" i="2"/>
  <c r="F1268" i="2"/>
  <c r="E1268" i="2"/>
  <c r="B1268" i="2"/>
  <c r="F1267" i="2"/>
  <c r="E1267" i="2"/>
  <c r="F1266" i="2"/>
  <c r="E1266" i="2"/>
  <c r="F1265" i="2"/>
  <c r="E1265" i="2"/>
  <c r="B1265" i="2"/>
  <c r="F1264" i="2"/>
  <c r="E1264" i="2"/>
  <c r="F1263" i="2"/>
  <c r="E1263" i="2"/>
  <c r="F1262" i="2"/>
  <c r="E1262" i="2"/>
  <c r="B1262" i="2"/>
  <c r="F1261" i="2"/>
  <c r="E1261" i="2"/>
  <c r="F1260" i="2"/>
  <c r="E1260" i="2"/>
  <c r="F1259" i="2"/>
  <c r="E1259" i="2"/>
  <c r="B1259" i="2"/>
  <c r="F1258" i="2"/>
  <c r="E1258" i="2"/>
  <c r="F1257" i="2"/>
  <c r="E1257" i="2"/>
  <c r="F1256" i="2"/>
  <c r="E1256" i="2"/>
  <c r="B1256" i="2"/>
  <c r="F1255" i="2"/>
  <c r="E1255" i="2"/>
  <c r="F1254" i="2"/>
  <c r="E1254" i="2"/>
  <c r="F1253" i="2"/>
  <c r="E1253" i="2"/>
  <c r="B1253" i="2"/>
  <c r="F1252" i="2"/>
  <c r="E1252" i="2"/>
  <c r="F1251" i="2"/>
  <c r="E1251" i="2"/>
  <c r="F1250" i="2"/>
  <c r="E1250" i="2"/>
  <c r="B1250" i="2"/>
  <c r="F1249" i="2"/>
  <c r="E1249" i="2"/>
  <c r="F1248" i="2"/>
  <c r="E1248" i="2"/>
  <c r="F1247" i="2"/>
  <c r="E1247" i="2"/>
  <c r="B1247" i="2"/>
  <c r="F1246" i="2"/>
  <c r="E1246" i="2"/>
  <c r="F1245" i="2"/>
  <c r="E1245" i="2"/>
  <c r="F1244" i="2"/>
  <c r="E1244" i="2"/>
  <c r="B1244" i="2"/>
  <c r="F1243" i="2"/>
  <c r="E1243" i="2"/>
  <c r="F1242" i="2"/>
  <c r="E1242" i="2"/>
  <c r="F1241" i="2"/>
  <c r="E1241" i="2"/>
  <c r="B1241" i="2"/>
  <c r="F1240" i="2"/>
  <c r="E1240" i="2"/>
  <c r="F1239" i="2"/>
  <c r="E1239" i="2"/>
  <c r="F1238" i="2"/>
  <c r="E1238" i="2"/>
  <c r="B1238" i="2"/>
  <c r="F1237" i="2"/>
  <c r="E1237" i="2"/>
  <c r="F1236" i="2"/>
  <c r="E1236" i="2"/>
  <c r="F1235" i="2"/>
  <c r="E1235" i="2"/>
  <c r="B1235" i="2"/>
  <c r="F1234" i="2"/>
  <c r="E1234" i="2"/>
  <c r="F1233" i="2"/>
  <c r="E1233" i="2"/>
  <c r="F1232" i="2"/>
  <c r="E1232" i="2"/>
  <c r="B1232" i="2"/>
  <c r="F1231" i="2"/>
  <c r="E1231" i="2"/>
  <c r="F1230" i="2"/>
  <c r="E1230" i="2"/>
  <c r="F1229" i="2"/>
  <c r="E1229" i="2"/>
  <c r="B1229" i="2"/>
  <c r="F1228" i="2"/>
  <c r="E1228" i="2"/>
  <c r="F1227" i="2"/>
  <c r="E1227" i="2"/>
  <c r="F1226" i="2"/>
  <c r="E1226" i="2"/>
  <c r="B1226" i="2"/>
  <c r="F1225" i="2"/>
  <c r="E1225" i="2"/>
  <c r="F1224" i="2"/>
  <c r="E1224" i="2"/>
  <c r="F1223" i="2"/>
  <c r="E1223" i="2"/>
  <c r="B1223" i="2"/>
  <c r="F1222" i="2"/>
  <c r="E1222" i="2"/>
  <c r="F1221" i="2"/>
  <c r="E1221" i="2"/>
  <c r="F1220" i="2"/>
  <c r="E1220" i="2"/>
  <c r="B1220" i="2"/>
  <c r="F1219" i="2"/>
  <c r="E1219" i="2"/>
  <c r="F1218" i="2"/>
  <c r="E1218" i="2"/>
  <c r="F1217" i="2"/>
  <c r="E1217" i="2"/>
  <c r="B1217" i="2"/>
  <c r="F1216" i="2"/>
  <c r="E1216" i="2"/>
  <c r="F1215" i="2"/>
  <c r="E1215" i="2"/>
  <c r="F1214" i="2"/>
  <c r="E1214" i="2"/>
  <c r="B1214" i="2"/>
  <c r="F1213" i="2"/>
  <c r="E1213" i="2"/>
  <c r="F1212" i="2"/>
  <c r="E1212" i="2"/>
  <c r="F1211" i="2"/>
  <c r="E1211" i="2"/>
  <c r="B1211" i="2"/>
  <c r="F1210" i="2"/>
  <c r="E1210" i="2"/>
  <c r="F1209" i="2"/>
  <c r="E1209" i="2"/>
  <c r="F1208" i="2"/>
  <c r="E1208" i="2"/>
  <c r="B1208" i="2"/>
  <c r="F1206" i="2"/>
  <c r="E1206" i="2"/>
  <c r="F1205" i="2"/>
  <c r="E1205" i="2"/>
  <c r="F1204" i="2"/>
  <c r="E1204" i="2"/>
  <c r="B1204" i="2"/>
  <c r="F1203" i="2"/>
  <c r="E1203" i="2"/>
  <c r="F1202" i="2"/>
  <c r="E1202" i="2"/>
  <c r="F1201" i="2"/>
  <c r="E1201" i="2"/>
  <c r="B1201" i="2"/>
  <c r="F1200" i="2"/>
  <c r="E1200" i="2"/>
  <c r="F1199" i="2"/>
  <c r="E1199" i="2"/>
  <c r="F1198" i="2"/>
  <c r="E1198" i="2"/>
  <c r="B1198" i="2"/>
  <c r="F1197" i="2"/>
  <c r="E1197" i="2"/>
  <c r="F1196" i="2"/>
  <c r="E1196" i="2"/>
  <c r="F1195" i="2"/>
  <c r="E1195" i="2"/>
  <c r="B1195" i="2"/>
  <c r="F1194" i="2"/>
  <c r="E1194" i="2"/>
  <c r="F1193" i="2"/>
  <c r="E1193" i="2"/>
  <c r="F1192" i="2"/>
  <c r="E1192" i="2"/>
  <c r="B1192" i="2"/>
  <c r="F1191" i="2"/>
  <c r="E1191" i="2"/>
  <c r="F1190" i="2"/>
  <c r="E1190" i="2"/>
  <c r="F1189" i="2"/>
  <c r="E1189" i="2"/>
  <c r="F1188" i="2"/>
  <c r="E1188" i="2"/>
  <c r="B1188" i="2"/>
  <c r="F1187" i="2"/>
  <c r="E1187" i="2"/>
  <c r="F1186" i="2"/>
  <c r="E1186" i="2"/>
  <c r="F1185" i="2"/>
  <c r="E1185" i="2"/>
  <c r="B1185" i="2"/>
  <c r="F1184" i="2"/>
  <c r="E1184" i="2"/>
  <c r="F1183" i="2"/>
  <c r="E1183" i="2"/>
  <c r="F1182" i="2"/>
  <c r="E1182" i="2"/>
  <c r="B1182" i="2"/>
  <c r="F1181" i="2"/>
  <c r="E1181" i="2"/>
  <c r="F1180" i="2"/>
  <c r="E1180" i="2"/>
  <c r="F1179" i="2"/>
  <c r="E1179" i="2"/>
  <c r="B1179" i="2"/>
  <c r="F1178" i="2"/>
  <c r="E1178" i="2"/>
  <c r="F1177" i="2"/>
  <c r="E1177" i="2"/>
  <c r="F1176" i="2"/>
  <c r="E1176" i="2"/>
  <c r="B1176" i="2"/>
  <c r="F1175" i="2"/>
  <c r="E1175" i="2"/>
  <c r="F1174" i="2"/>
  <c r="E1174" i="2"/>
  <c r="F1173" i="2"/>
  <c r="E1173" i="2"/>
  <c r="B1173" i="2"/>
  <c r="F1172" i="2"/>
  <c r="E1172" i="2"/>
  <c r="F1171" i="2"/>
  <c r="E1171" i="2"/>
  <c r="F1170" i="2"/>
  <c r="E1170" i="2"/>
  <c r="B1170" i="2"/>
  <c r="F1169" i="2"/>
  <c r="E1169" i="2"/>
  <c r="F1168" i="2"/>
  <c r="E1168" i="2"/>
  <c r="F1167" i="2"/>
  <c r="E1167" i="2"/>
  <c r="B1167" i="2"/>
  <c r="F1166" i="2"/>
  <c r="E1166" i="2"/>
  <c r="F1165" i="2"/>
  <c r="E1165" i="2"/>
  <c r="F1164" i="2"/>
  <c r="E1164" i="2"/>
  <c r="B1164" i="2"/>
  <c r="F1163" i="2"/>
  <c r="E1163" i="2"/>
  <c r="F1162" i="2"/>
  <c r="E1162" i="2"/>
  <c r="F1161" i="2"/>
  <c r="E1161" i="2"/>
  <c r="B1161" i="2"/>
  <c r="F1160" i="2"/>
  <c r="E1160" i="2"/>
  <c r="K1159" i="2"/>
  <c r="F1159" i="2"/>
  <c r="E1159" i="2"/>
  <c r="F1158" i="2"/>
  <c r="E1158" i="2"/>
  <c r="B1158" i="2"/>
  <c r="F1157" i="2"/>
  <c r="E1157" i="2"/>
  <c r="F1156" i="2"/>
  <c r="E1156" i="2"/>
  <c r="F1155" i="2"/>
  <c r="E1155" i="2"/>
  <c r="B1155" i="2"/>
  <c r="K1154" i="2"/>
  <c r="F1154" i="2"/>
  <c r="E1154" i="2"/>
  <c r="F1153" i="2"/>
  <c r="E1153" i="2"/>
  <c r="F1152" i="2"/>
  <c r="E1152" i="2"/>
  <c r="B1152" i="2"/>
  <c r="F1151" i="2"/>
  <c r="E1151" i="2"/>
  <c r="F1150" i="2"/>
  <c r="E1150" i="2"/>
  <c r="F1149" i="2"/>
  <c r="E1149" i="2"/>
  <c r="B1149" i="2"/>
  <c r="F1148" i="2"/>
  <c r="E1148" i="2"/>
  <c r="F1147" i="2"/>
  <c r="E1147" i="2"/>
  <c r="F1146" i="2"/>
  <c r="E1146" i="2"/>
  <c r="B1146" i="2"/>
  <c r="F1145" i="2"/>
  <c r="E1145" i="2"/>
  <c r="F1144" i="2"/>
  <c r="E1144" i="2"/>
  <c r="F1143" i="2"/>
  <c r="E1143" i="2"/>
  <c r="B1143" i="2"/>
  <c r="F1142" i="2"/>
  <c r="E1142" i="2"/>
  <c r="F1141" i="2"/>
  <c r="E1141" i="2"/>
  <c r="F1140" i="2"/>
  <c r="E1140" i="2"/>
  <c r="B1140" i="2"/>
  <c r="F1139" i="2"/>
  <c r="E1139" i="2"/>
  <c r="F1138" i="2"/>
  <c r="E1138" i="2"/>
  <c r="F1137" i="2"/>
  <c r="E1137" i="2"/>
  <c r="B1137" i="2"/>
  <c r="F1135" i="2"/>
  <c r="E1135" i="2"/>
  <c r="F1134" i="2"/>
  <c r="E1134" i="2"/>
  <c r="F1133" i="2"/>
  <c r="E1133" i="2"/>
  <c r="B1133" i="2"/>
  <c r="F1132" i="2"/>
  <c r="E1132" i="2"/>
  <c r="F1131" i="2"/>
  <c r="E1131" i="2"/>
  <c r="F1130" i="2"/>
  <c r="E1130" i="2"/>
  <c r="B1130" i="2"/>
  <c r="F1129" i="2"/>
  <c r="E1129" i="2"/>
  <c r="F1128" i="2"/>
  <c r="E1128" i="2"/>
  <c r="F1127" i="2"/>
  <c r="E1127" i="2"/>
  <c r="B1127" i="2"/>
  <c r="F1126" i="2"/>
  <c r="E1126" i="2"/>
  <c r="F1125" i="2"/>
  <c r="E1125" i="2"/>
  <c r="F1124" i="2"/>
  <c r="E1124" i="2"/>
  <c r="B1124" i="2"/>
  <c r="F1123" i="2"/>
  <c r="E1123" i="2"/>
  <c r="F1122" i="2"/>
  <c r="E1122" i="2"/>
  <c r="F1121" i="2"/>
  <c r="E1121" i="2"/>
  <c r="B1121" i="2"/>
  <c r="F1120" i="2"/>
  <c r="E1120" i="2"/>
  <c r="F1119" i="2"/>
  <c r="E1119" i="2"/>
  <c r="F1118" i="2"/>
  <c r="E1118" i="2"/>
  <c r="B1118" i="2"/>
  <c r="F1117" i="2"/>
  <c r="E1117" i="2"/>
  <c r="F1116" i="2"/>
  <c r="E1116" i="2"/>
  <c r="F1115" i="2"/>
  <c r="E1115" i="2"/>
  <c r="B1115" i="2"/>
  <c r="F1114" i="2"/>
  <c r="E1114" i="2"/>
  <c r="F1113" i="2"/>
  <c r="E1113" i="2"/>
  <c r="F1112" i="2"/>
  <c r="E1112" i="2"/>
  <c r="B1112" i="2"/>
  <c r="F1111" i="2"/>
  <c r="E1111" i="2"/>
  <c r="F1110" i="2"/>
  <c r="E1110" i="2"/>
  <c r="F1109" i="2"/>
  <c r="E1109" i="2"/>
  <c r="B1109" i="2"/>
  <c r="F1108" i="2"/>
  <c r="E1108" i="2"/>
  <c r="F1107" i="2"/>
  <c r="E1107" i="2"/>
  <c r="F1106" i="2"/>
  <c r="E1106" i="2"/>
  <c r="B1106" i="2"/>
  <c r="F1105" i="2"/>
  <c r="E1105" i="2"/>
  <c r="F1104" i="2"/>
  <c r="E1104" i="2"/>
  <c r="F1103" i="2"/>
  <c r="E1103" i="2"/>
  <c r="B1103" i="2"/>
  <c r="F1102" i="2"/>
  <c r="E1102" i="2"/>
  <c r="F1101" i="2"/>
  <c r="E1101" i="2"/>
  <c r="F1100" i="2"/>
  <c r="E1100" i="2"/>
  <c r="B1100" i="2"/>
  <c r="F1099" i="2"/>
  <c r="E1099" i="2"/>
  <c r="F1098" i="2"/>
  <c r="E1098" i="2"/>
  <c r="F1097" i="2"/>
  <c r="E1097" i="2"/>
  <c r="B1097" i="2"/>
  <c r="F1096" i="2"/>
  <c r="E1096" i="2"/>
  <c r="F1095" i="2"/>
  <c r="E1095" i="2"/>
  <c r="F1094" i="2"/>
  <c r="E1094" i="2"/>
  <c r="B1094" i="2"/>
  <c r="F1093" i="2"/>
  <c r="E1093" i="2"/>
  <c r="F1092" i="2"/>
  <c r="E1092" i="2"/>
  <c r="F1091" i="2"/>
  <c r="E1091" i="2"/>
  <c r="B1091" i="2"/>
  <c r="F1090" i="2"/>
  <c r="E1090" i="2"/>
  <c r="F1089" i="2"/>
  <c r="E1089" i="2"/>
  <c r="F1088" i="2"/>
  <c r="E1088" i="2"/>
  <c r="B1088" i="2"/>
  <c r="F1087" i="2"/>
  <c r="E1087" i="2"/>
  <c r="F1086" i="2"/>
  <c r="E1086" i="2"/>
  <c r="F1085" i="2"/>
  <c r="E1085" i="2"/>
  <c r="B1085" i="2"/>
  <c r="F1084" i="2"/>
  <c r="E1084" i="2"/>
  <c r="F1083" i="2"/>
  <c r="E1083" i="2"/>
  <c r="F1082" i="2"/>
  <c r="E1082" i="2"/>
  <c r="B1082" i="2"/>
  <c r="F1081" i="2"/>
  <c r="E1081" i="2"/>
  <c r="F1080" i="2"/>
  <c r="E1080" i="2"/>
  <c r="F1079" i="2"/>
  <c r="E1079" i="2"/>
  <c r="B1079" i="2"/>
  <c r="F1078" i="2"/>
  <c r="E1078" i="2"/>
  <c r="F1077" i="2"/>
  <c r="E1077" i="2"/>
  <c r="F1076" i="2"/>
  <c r="E1076" i="2"/>
  <c r="F1075" i="2"/>
  <c r="E1075" i="2"/>
  <c r="B1075" i="2"/>
  <c r="F1074" i="2"/>
  <c r="E1074" i="2"/>
  <c r="F1073" i="2"/>
  <c r="E1073" i="2"/>
  <c r="F1072" i="2"/>
  <c r="E1072" i="2"/>
  <c r="B1072" i="2"/>
  <c r="F1071" i="2"/>
  <c r="E1071" i="2"/>
  <c r="F1070" i="2"/>
  <c r="E1070" i="2"/>
  <c r="F1069" i="2"/>
  <c r="E1069" i="2"/>
  <c r="B1069" i="2"/>
  <c r="F1068" i="2"/>
  <c r="E1068" i="2"/>
  <c r="F1067" i="2"/>
  <c r="E1067" i="2"/>
  <c r="F1066" i="2"/>
  <c r="E1066" i="2"/>
  <c r="B1066" i="2"/>
  <c r="F1065" i="2"/>
  <c r="E1065" i="2"/>
  <c r="F1064" i="2"/>
  <c r="E1064" i="2"/>
  <c r="F1063" i="2"/>
  <c r="E1063" i="2"/>
  <c r="B1063" i="2"/>
  <c r="F1062" i="2"/>
  <c r="E1062" i="2"/>
  <c r="F1061" i="2"/>
  <c r="E1061" i="2"/>
  <c r="F1060" i="2"/>
  <c r="E1060" i="2"/>
  <c r="B1060" i="2"/>
  <c r="F1059" i="2"/>
  <c r="E1059" i="2"/>
  <c r="F1058" i="2"/>
  <c r="E1058" i="2"/>
  <c r="F1057" i="2"/>
  <c r="E1057" i="2"/>
  <c r="B1057" i="2"/>
  <c r="F1056" i="2"/>
  <c r="E1056" i="2"/>
  <c r="F1055" i="2"/>
  <c r="E1055" i="2"/>
  <c r="F1054" i="2"/>
  <c r="E1054" i="2"/>
  <c r="B1054" i="2"/>
  <c r="F1053" i="2"/>
  <c r="E1053" i="2"/>
  <c r="F1052" i="2"/>
  <c r="E1052" i="2"/>
  <c r="F1051" i="2"/>
  <c r="E1051" i="2"/>
  <c r="F1050" i="2"/>
  <c r="E1050" i="2"/>
  <c r="B1050" i="2"/>
  <c r="F1049" i="2"/>
  <c r="E1049" i="2"/>
  <c r="F1048" i="2"/>
  <c r="E1048" i="2"/>
  <c r="F1047" i="2"/>
  <c r="E1047" i="2"/>
  <c r="B1047" i="2"/>
  <c r="F1046" i="2"/>
  <c r="E1046" i="2"/>
  <c r="F1045" i="2"/>
  <c r="E1045" i="2"/>
  <c r="F1044" i="2"/>
  <c r="E1044" i="2"/>
  <c r="B1044" i="2"/>
  <c r="F1043" i="2"/>
  <c r="E1043" i="2"/>
  <c r="F1042" i="2"/>
  <c r="E1042" i="2"/>
  <c r="F1041" i="2"/>
  <c r="E1041" i="2"/>
  <c r="B1041" i="2"/>
  <c r="F1040" i="2"/>
  <c r="E1040" i="2"/>
  <c r="F1039" i="2"/>
  <c r="E1039" i="2"/>
  <c r="F1038" i="2"/>
  <c r="E1038" i="2"/>
  <c r="B1038" i="2"/>
  <c r="F1035" i="2"/>
  <c r="E1035" i="2"/>
  <c r="F1034" i="2"/>
  <c r="E1034" i="2"/>
  <c r="F1033" i="2"/>
  <c r="E1033" i="2"/>
  <c r="F1032" i="2"/>
  <c r="E1032" i="2"/>
  <c r="B1032" i="2"/>
  <c r="F1031" i="2"/>
  <c r="E1031" i="2"/>
  <c r="F1030" i="2"/>
  <c r="E1030" i="2"/>
  <c r="F1029" i="2"/>
  <c r="E1029" i="2"/>
  <c r="F1028" i="2"/>
  <c r="E1028" i="2"/>
  <c r="B1028" i="2"/>
  <c r="F1027" i="2"/>
  <c r="E1027" i="2"/>
  <c r="F1026" i="2"/>
  <c r="E1026" i="2"/>
  <c r="F1025" i="2"/>
  <c r="E1025" i="2"/>
  <c r="F1024" i="2"/>
  <c r="E1024" i="2"/>
  <c r="B1024" i="2"/>
  <c r="F1023" i="2"/>
  <c r="E1023" i="2"/>
  <c r="F1022" i="2"/>
  <c r="E1022" i="2"/>
  <c r="F1021" i="2"/>
  <c r="E1021" i="2"/>
  <c r="F1020" i="2"/>
  <c r="E1020" i="2"/>
  <c r="B1020" i="2"/>
  <c r="F1019" i="2"/>
  <c r="E1019" i="2"/>
  <c r="F1018" i="2"/>
  <c r="E1018" i="2"/>
  <c r="F1017" i="2"/>
  <c r="E1017" i="2"/>
  <c r="F1016" i="2"/>
  <c r="E1016" i="2"/>
  <c r="B1016" i="2"/>
  <c r="F1015" i="2"/>
  <c r="E1015" i="2"/>
  <c r="F1014" i="2"/>
  <c r="E1014" i="2"/>
  <c r="F1013" i="2"/>
  <c r="E1013" i="2"/>
  <c r="F1012" i="2"/>
  <c r="E1012" i="2"/>
  <c r="B1012" i="2"/>
  <c r="F1011" i="2"/>
  <c r="E1011" i="2"/>
  <c r="F1010" i="2"/>
  <c r="E1010" i="2"/>
  <c r="F1009" i="2"/>
  <c r="E1009" i="2"/>
  <c r="F1008" i="2"/>
  <c r="E1008" i="2"/>
  <c r="B1008" i="2"/>
  <c r="F1007" i="2"/>
  <c r="E1007" i="2"/>
  <c r="F1006" i="2"/>
  <c r="E1006" i="2"/>
  <c r="F1005" i="2"/>
  <c r="E1005" i="2"/>
  <c r="F1004" i="2"/>
  <c r="E1004" i="2"/>
  <c r="B1004" i="2"/>
  <c r="F1003" i="2"/>
  <c r="E1003" i="2"/>
  <c r="F1002" i="2"/>
  <c r="E1002" i="2"/>
  <c r="F1001" i="2"/>
  <c r="E1001" i="2"/>
  <c r="F1000" i="2"/>
  <c r="E1000" i="2"/>
  <c r="B1000" i="2"/>
  <c r="F999" i="2"/>
  <c r="E999" i="2"/>
  <c r="F998" i="2"/>
  <c r="E998" i="2"/>
  <c r="F997" i="2"/>
  <c r="E997" i="2"/>
  <c r="F996" i="2"/>
  <c r="E996" i="2"/>
  <c r="B996" i="2"/>
  <c r="F995" i="2"/>
  <c r="E995" i="2"/>
  <c r="F994" i="2"/>
  <c r="E994" i="2"/>
  <c r="F993" i="2"/>
  <c r="E993" i="2"/>
  <c r="F992" i="2"/>
  <c r="E992" i="2"/>
  <c r="B992" i="2"/>
  <c r="F991" i="2"/>
  <c r="E991" i="2"/>
  <c r="F990" i="2"/>
  <c r="E990" i="2"/>
  <c r="F989" i="2"/>
  <c r="E989" i="2"/>
  <c r="F988" i="2"/>
  <c r="E988" i="2"/>
  <c r="B988" i="2"/>
  <c r="F987" i="2"/>
  <c r="E987" i="2"/>
  <c r="F986" i="2"/>
  <c r="E986" i="2"/>
  <c r="F985" i="2"/>
  <c r="E985" i="2"/>
  <c r="F984" i="2"/>
  <c r="E984" i="2"/>
  <c r="B984" i="2"/>
  <c r="F983" i="2"/>
  <c r="E983" i="2"/>
  <c r="F982" i="2"/>
  <c r="E982" i="2"/>
  <c r="F981" i="2"/>
  <c r="E981" i="2"/>
  <c r="F980" i="2"/>
  <c r="E980" i="2"/>
  <c r="B980" i="2"/>
  <c r="F979" i="2"/>
  <c r="E979" i="2"/>
  <c r="F978" i="2"/>
  <c r="E978" i="2"/>
  <c r="F977" i="2"/>
  <c r="E977" i="2"/>
  <c r="F976" i="2"/>
  <c r="E976" i="2"/>
  <c r="B976" i="2"/>
  <c r="F975" i="2"/>
  <c r="E975" i="2"/>
  <c r="F974" i="2"/>
  <c r="E974" i="2"/>
  <c r="F973" i="2"/>
  <c r="E973" i="2"/>
  <c r="F972" i="2"/>
  <c r="E972" i="2"/>
  <c r="B972" i="2"/>
  <c r="F971" i="2"/>
  <c r="E971" i="2"/>
  <c r="F970" i="2"/>
  <c r="E970" i="2"/>
  <c r="F969" i="2"/>
  <c r="E969" i="2"/>
  <c r="F968" i="2"/>
  <c r="E968" i="2"/>
  <c r="B968" i="2"/>
  <c r="F967" i="2"/>
  <c r="E967" i="2"/>
  <c r="F966" i="2"/>
  <c r="E966" i="2"/>
  <c r="F965" i="2"/>
  <c r="E965" i="2"/>
  <c r="F964" i="2"/>
  <c r="E964" i="2"/>
  <c r="B964" i="2"/>
  <c r="F963" i="2"/>
  <c r="E963" i="2"/>
  <c r="F962" i="2"/>
  <c r="E962" i="2"/>
  <c r="F961" i="2"/>
  <c r="E961" i="2"/>
  <c r="F960" i="2"/>
  <c r="E960" i="2"/>
  <c r="B960" i="2"/>
  <c r="F958" i="2"/>
  <c r="E958" i="2"/>
  <c r="B958" i="2"/>
  <c r="F955" i="2"/>
  <c r="E955" i="2"/>
  <c r="B955" i="2"/>
  <c r="F954" i="2"/>
  <c r="E954" i="2"/>
  <c r="B954" i="2"/>
  <c r="F953" i="2"/>
  <c r="E953" i="2"/>
  <c r="B953" i="2"/>
  <c r="F952" i="2"/>
  <c r="E952" i="2"/>
  <c r="F951" i="2"/>
  <c r="E951" i="2"/>
  <c r="F950" i="2"/>
  <c r="E950" i="2"/>
  <c r="F949" i="2"/>
  <c r="E949" i="2"/>
  <c r="B949" i="2"/>
  <c r="F948" i="2"/>
  <c r="E948" i="2"/>
  <c r="B948" i="2"/>
  <c r="F947" i="2"/>
  <c r="E947" i="2"/>
  <c r="F946" i="2"/>
  <c r="E946" i="2"/>
  <c r="F945" i="2"/>
  <c r="E945" i="2"/>
  <c r="F944" i="2"/>
  <c r="E944" i="2"/>
  <c r="B944" i="2"/>
  <c r="F943" i="2"/>
  <c r="E943" i="2"/>
  <c r="B943" i="2"/>
  <c r="F942" i="2"/>
  <c r="E942" i="2"/>
  <c r="B942" i="2"/>
  <c r="F941" i="2"/>
  <c r="E941" i="2"/>
  <c r="B941" i="2"/>
  <c r="F940" i="2"/>
  <c r="E940" i="2"/>
  <c r="F939" i="2"/>
  <c r="E939" i="2"/>
  <c r="F938" i="2"/>
  <c r="E938" i="2"/>
  <c r="F937" i="2"/>
  <c r="E937" i="2"/>
  <c r="F936" i="2"/>
  <c r="E936" i="2"/>
  <c r="F935" i="2"/>
  <c r="E935" i="2"/>
  <c r="F934" i="2"/>
  <c r="E934" i="2"/>
  <c r="F933" i="2"/>
  <c r="E933" i="2"/>
  <c r="F932" i="2"/>
  <c r="E932" i="2"/>
  <c r="B932" i="2"/>
  <c r="F931" i="2"/>
  <c r="E931" i="2"/>
  <c r="B931" i="2"/>
  <c r="F929" i="2"/>
  <c r="E929" i="2"/>
  <c r="F928" i="2"/>
  <c r="E928" i="2"/>
  <c r="F927" i="2"/>
  <c r="E927" i="2"/>
  <c r="F926" i="2"/>
  <c r="E926" i="2"/>
  <c r="B926" i="2"/>
  <c r="H925" i="2"/>
  <c r="F925" i="2"/>
  <c r="E925" i="2"/>
  <c r="F924" i="2"/>
  <c r="E924" i="2"/>
  <c r="F923" i="2"/>
  <c r="E923" i="2"/>
  <c r="F922" i="2"/>
  <c r="E922" i="2"/>
  <c r="F921" i="2"/>
  <c r="E921" i="2"/>
  <c r="F920" i="2"/>
  <c r="E920" i="2"/>
  <c r="F919" i="2"/>
  <c r="E919" i="2"/>
  <c r="F918" i="2"/>
  <c r="E918" i="2"/>
  <c r="B918" i="2"/>
  <c r="F917" i="2"/>
  <c r="E917" i="2"/>
  <c r="F916" i="2"/>
  <c r="E916" i="2"/>
  <c r="B916" i="2"/>
  <c r="F915" i="2"/>
  <c r="E915" i="2"/>
  <c r="F914" i="2"/>
  <c r="E914" i="2"/>
  <c r="B914" i="2"/>
  <c r="F912" i="2"/>
  <c r="E912" i="2"/>
  <c r="B912" i="2"/>
  <c r="F911" i="2"/>
  <c r="E911" i="2"/>
  <c r="B911" i="2"/>
  <c r="F910" i="2"/>
  <c r="E910" i="2"/>
  <c r="B910" i="2"/>
  <c r="F909" i="2"/>
  <c r="E909" i="2"/>
  <c r="F908" i="2"/>
  <c r="E908" i="2"/>
  <c r="F907" i="2"/>
  <c r="E907" i="2"/>
  <c r="F906" i="2"/>
  <c r="E906" i="2"/>
  <c r="F905" i="2"/>
  <c r="E905" i="2"/>
  <c r="B905" i="2"/>
  <c r="F903" i="2"/>
  <c r="E903" i="2"/>
  <c r="F902" i="2"/>
  <c r="E902" i="2"/>
  <c r="F901" i="2"/>
  <c r="E901" i="2"/>
  <c r="F900" i="2"/>
  <c r="E900" i="2"/>
  <c r="F899" i="2"/>
  <c r="E899" i="2"/>
  <c r="F898" i="2"/>
  <c r="E898" i="2"/>
  <c r="F897" i="2"/>
  <c r="E897" i="2"/>
  <c r="F896" i="2"/>
  <c r="E896" i="2"/>
  <c r="F895" i="2"/>
  <c r="E895" i="2"/>
  <c r="B895" i="2"/>
  <c r="F894" i="2"/>
  <c r="E894" i="2"/>
  <c r="B894" i="2"/>
  <c r="F893" i="2"/>
  <c r="E893" i="2"/>
  <c r="F892" i="2"/>
  <c r="E892" i="2"/>
  <c r="F891" i="2"/>
  <c r="E891" i="2"/>
  <c r="F890" i="2"/>
  <c r="E890" i="2"/>
  <c r="F889" i="2"/>
  <c r="E889" i="2"/>
  <c r="F888" i="2"/>
  <c r="E888" i="2"/>
  <c r="F887" i="2"/>
  <c r="E887" i="2"/>
  <c r="F886" i="2"/>
  <c r="E886" i="2"/>
  <c r="F885" i="2"/>
  <c r="E885" i="2"/>
  <c r="F884" i="2"/>
  <c r="E884" i="2"/>
  <c r="B884" i="2"/>
  <c r="F882" i="2"/>
  <c r="E882" i="2"/>
  <c r="F881" i="2"/>
  <c r="E881" i="2"/>
  <c r="B881" i="2"/>
  <c r="F880" i="2"/>
  <c r="E880" i="2"/>
  <c r="F879" i="2"/>
  <c r="E879" i="2"/>
  <c r="B879" i="2"/>
  <c r="F878" i="2"/>
  <c r="E878" i="2"/>
  <c r="F877" i="2"/>
  <c r="E877" i="2"/>
  <c r="B877" i="2"/>
  <c r="F876" i="2"/>
  <c r="E876" i="2"/>
  <c r="F875" i="2"/>
  <c r="E875" i="2"/>
  <c r="B875" i="2"/>
  <c r="F873" i="2"/>
  <c r="E873" i="2"/>
  <c r="F872" i="2"/>
  <c r="E872" i="2"/>
  <c r="F871" i="2"/>
  <c r="E871" i="2"/>
  <c r="B871" i="2"/>
  <c r="F869" i="2"/>
  <c r="E869" i="2"/>
  <c r="F868" i="2"/>
  <c r="E868" i="2"/>
  <c r="F867" i="2"/>
  <c r="E867" i="2"/>
  <c r="F866" i="2"/>
  <c r="E866" i="2"/>
  <c r="B866" i="2"/>
  <c r="F863" i="2"/>
  <c r="E863" i="2"/>
  <c r="B863" i="2"/>
  <c r="F862" i="2"/>
  <c r="E862" i="2"/>
  <c r="F861" i="2"/>
  <c r="E861" i="2"/>
  <c r="F860" i="2"/>
  <c r="E860" i="2"/>
  <c r="F859" i="2"/>
  <c r="E859" i="2"/>
  <c r="F858" i="2"/>
  <c r="E858" i="2"/>
  <c r="F857" i="2"/>
  <c r="E857" i="2"/>
  <c r="F856" i="2"/>
  <c r="E856" i="2"/>
  <c r="F855" i="2"/>
  <c r="E855" i="2"/>
  <c r="B855" i="2"/>
  <c r="F854" i="2"/>
  <c r="E854" i="2"/>
  <c r="F853" i="2"/>
  <c r="E853" i="2"/>
  <c r="F852" i="2"/>
  <c r="E852" i="2"/>
  <c r="F851" i="2"/>
  <c r="E851" i="2"/>
  <c r="F850" i="2"/>
  <c r="E850" i="2"/>
  <c r="F849" i="2"/>
  <c r="E849" i="2"/>
  <c r="F848" i="2"/>
  <c r="E848" i="2"/>
  <c r="F847" i="2"/>
  <c r="E847" i="2"/>
  <c r="F846" i="2"/>
  <c r="E846" i="2"/>
  <c r="F845" i="2"/>
  <c r="E845" i="2"/>
  <c r="F844" i="2"/>
  <c r="E844" i="2"/>
  <c r="F843" i="2"/>
  <c r="E843" i="2"/>
  <c r="F842" i="2"/>
  <c r="E842" i="2"/>
  <c r="F841" i="2"/>
  <c r="E841" i="2"/>
  <c r="F840" i="2"/>
  <c r="E840" i="2"/>
  <c r="B840" i="2"/>
  <c r="F838" i="2"/>
  <c r="E838" i="2"/>
  <c r="F837" i="2"/>
  <c r="E837" i="2"/>
  <c r="F836" i="2"/>
  <c r="E836" i="2"/>
  <c r="F835" i="2"/>
  <c r="E835" i="2"/>
  <c r="F834" i="2"/>
  <c r="E834" i="2"/>
  <c r="F833" i="2"/>
  <c r="E833" i="2"/>
  <c r="F832" i="2"/>
  <c r="E832" i="2"/>
  <c r="F831" i="2"/>
  <c r="E831" i="2"/>
  <c r="F830" i="2"/>
  <c r="E830" i="2"/>
  <c r="F829" i="2"/>
  <c r="E829" i="2"/>
  <c r="B829" i="2"/>
  <c r="F828" i="2"/>
  <c r="E828" i="2"/>
  <c r="B828" i="2"/>
  <c r="F827" i="2"/>
  <c r="E827" i="2"/>
  <c r="F826" i="2"/>
  <c r="E826" i="2"/>
  <c r="F825" i="2"/>
  <c r="E825" i="2"/>
  <c r="F824" i="2"/>
  <c r="E824" i="2"/>
  <c r="F823" i="2"/>
  <c r="E823" i="2"/>
  <c r="F822" i="2"/>
  <c r="E822" i="2"/>
  <c r="F821" i="2"/>
  <c r="E821" i="2"/>
  <c r="F820" i="2"/>
  <c r="E820" i="2"/>
  <c r="B820" i="2"/>
  <c r="F819" i="2"/>
  <c r="E819" i="2"/>
  <c r="F818" i="2"/>
  <c r="E818" i="2"/>
  <c r="F817" i="2"/>
  <c r="E817" i="2"/>
  <c r="F816" i="2"/>
  <c r="E816" i="2"/>
  <c r="F815" i="2"/>
  <c r="E815" i="2"/>
  <c r="F814" i="2"/>
  <c r="E814" i="2"/>
  <c r="B814" i="2"/>
  <c r="F813" i="2"/>
  <c r="E813" i="2"/>
  <c r="F812" i="2"/>
  <c r="E812" i="2"/>
  <c r="F811" i="2"/>
  <c r="E811" i="2"/>
  <c r="F810" i="2"/>
  <c r="E810" i="2"/>
  <c r="F809" i="2"/>
  <c r="E809" i="2"/>
  <c r="F808" i="2"/>
  <c r="E808" i="2"/>
  <c r="F807" i="2"/>
  <c r="E807" i="2"/>
  <c r="F806" i="2"/>
  <c r="E806" i="2"/>
  <c r="F805" i="2"/>
  <c r="E805" i="2"/>
  <c r="F804" i="2"/>
  <c r="E804" i="2"/>
  <c r="B804" i="2"/>
  <c r="F803" i="2"/>
  <c r="E803" i="2"/>
  <c r="B803" i="2"/>
  <c r="F802" i="2"/>
  <c r="E802" i="2"/>
  <c r="B802" i="2"/>
  <c r="F800" i="2"/>
  <c r="E800" i="2"/>
  <c r="F799" i="2"/>
  <c r="E799" i="2"/>
  <c r="F798" i="2"/>
  <c r="E798" i="2"/>
  <c r="F797" i="2"/>
  <c r="E797" i="2"/>
  <c r="F796" i="2"/>
  <c r="E796" i="2"/>
  <c r="B796" i="2"/>
  <c r="F795" i="2"/>
  <c r="E795" i="2"/>
  <c r="F794" i="2"/>
  <c r="E794" i="2"/>
  <c r="F793" i="2"/>
  <c r="E793" i="2"/>
  <c r="B793" i="2"/>
  <c r="F792" i="2"/>
  <c r="E792" i="2"/>
  <c r="B792" i="2"/>
  <c r="F791" i="2"/>
  <c r="E791" i="2"/>
  <c r="F790" i="2"/>
  <c r="E790" i="2"/>
  <c r="F789" i="2"/>
  <c r="E789" i="2"/>
  <c r="F788" i="2"/>
  <c r="E788" i="2"/>
  <c r="F787" i="2"/>
  <c r="E787" i="2"/>
  <c r="F786" i="2"/>
  <c r="E786" i="2"/>
  <c r="B786" i="2"/>
  <c r="F785" i="2"/>
  <c r="E785" i="2"/>
  <c r="J784" i="2"/>
  <c r="F784" i="2"/>
  <c r="E784" i="2"/>
  <c r="J783" i="2"/>
  <c r="F783" i="2"/>
  <c r="E783" i="2"/>
  <c r="J782" i="2"/>
  <c r="F782" i="2"/>
  <c r="E782" i="2"/>
  <c r="J781" i="2"/>
  <c r="F781" i="2"/>
  <c r="E781" i="2"/>
  <c r="J780" i="2"/>
  <c r="F780" i="2"/>
  <c r="E780" i="2"/>
  <c r="J779" i="2"/>
  <c r="F779" i="2"/>
  <c r="E779" i="2"/>
  <c r="J778" i="2"/>
  <c r="F778" i="2"/>
  <c r="E778" i="2"/>
  <c r="B778" i="2"/>
  <c r="F777" i="2"/>
  <c r="E777" i="2"/>
  <c r="B777" i="2"/>
  <c r="F776" i="2"/>
  <c r="E776" i="2"/>
  <c r="B776" i="2"/>
  <c r="F775" i="2"/>
  <c r="E775" i="2"/>
  <c r="F774" i="2"/>
  <c r="E774" i="2"/>
  <c r="F773" i="2"/>
  <c r="E773" i="2"/>
  <c r="F772" i="2"/>
  <c r="E772" i="2"/>
  <c r="F771" i="2"/>
  <c r="E771" i="2"/>
  <c r="F770" i="2"/>
  <c r="E770" i="2"/>
  <c r="F769" i="2"/>
  <c r="E769" i="2"/>
  <c r="F768" i="2"/>
  <c r="E768" i="2"/>
  <c r="F767" i="2"/>
  <c r="E767" i="2"/>
  <c r="H766" i="2"/>
  <c r="F766" i="2"/>
  <c r="E766" i="2"/>
  <c r="B766" i="2"/>
  <c r="F765" i="2"/>
  <c r="E765" i="2"/>
  <c r="B765" i="2"/>
  <c r="E764" i="2"/>
  <c r="B764" i="2"/>
  <c r="F763" i="2"/>
  <c r="E763" i="2"/>
  <c r="F762" i="2"/>
  <c r="E762" i="2"/>
  <c r="F761" i="2"/>
  <c r="E761" i="2"/>
  <c r="F760" i="2"/>
  <c r="E760" i="2"/>
  <c r="F759" i="2"/>
  <c r="E759" i="2"/>
  <c r="B759" i="2"/>
  <c r="F758" i="2"/>
  <c r="E758" i="2"/>
  <c r="F757" i="2"/>
  <c r="E757" i="2"/>
  <c r="F756" i="2"/>
  <c r="E756" i="2"/>
  <c r="F755" i="2"/>
  <c r="E755" i="2"/>
  <c r="F754" i="2"/>
  <c r="E754" i="2"/>
  <c r="F753" i="2"/>
  <c r="E753" i="2"/>
  <c r="F752" i="2"/>
  <c r="E752" i="2"/>
  <c r="F751" i="2"/>
  <c r="E751" i="2"/>
  <c r="F750" i="2"/>
  <c r="E750" i="2"/>
  <c r="F749" i="2"/>
  <c r="E749" i="2"/>
  <c r="F748" i="2"/>
  <c r="E748" i="2"/>
  <c r="F747" i="2"/>
  <c r="E747" i="2"/>
  <c r="F746" i="2"/>
  <c r="E746" i="2"/>
  <c r="F745" i="2"/>
  <c r="E745" i="2"/>
  <c r="F744" i="2"/>
  <c r="E744" i="2"/>
  <c r="F743" i="2"/>
  <c r="E743" i="2"/>
  <c r="F742" i="2"/>
  <c r="E742" i="2"/>
  <c r="F741" i="2"/>
  <c r="E741" i="2"/>
  <c r="F740" i="2"/>
  <c r="E740" i="2"/>
  <c r="F739" i="2"/>
  <c r="E739" i="2"/>
  <c r="F738" i="2"/>
  <c r="E738" i="2"/>
  <c r="F737" i="2"/>
  <c r="E737" i="2"/>
  <c r="F736" i="2"/>
  <c r="E736" i="2"/>
  <c r="B736" i="2"/>
  <c r="F735" i="2"/>
  <c r="E735" i="2"/>
  <c r="F734" i="2"/>
  <c r="E734" i="2"/>
  <c r="B734" i="2"/>
  <c r="F733" i="2"/>
  <c r="E733" i="2"/>
  <c r="F732" i="2"/>
  <c r="E732" i="2"/>
  <c r="B732" i="2"/>
  <c r="F730" i="2"/>
  <c r="E730" i="2"/>
  <c r="F729" i="2"/>
  <c r="E729" i="2"/>
  <c r="B729" i="2"/>
  <c r="F727" i="2"/>
  <c r="E727" i="2"/>
  <c r="B727" i="2"/>
  <c r="F726" i="2"/>
  <c r="E726" i="2"/>
  <c r="F725" i="2"/>
  <c r="E725" i="2"/>
  <c r="B725" i="2"/>
  <c r="F724" i="2"/>
  <c r="E724" i="2"/>
  <c r="B724" i="2"/>
  <c r="H723" i="2"/>
  <c r="F723" i="2"/>
  <c r="E723" i="2"/>
  <c r="F722" i="2"/>
  <c r="E722" i="2"/>
  <c r="F721" i="2"/>
  <c r="E721" i="2"/>
  <c r="F720" i="2"/>
  <c r="E720" i="2"/>
  <c r="F719" i="2"/>
  <c r="E719" i="2"/>
  <c r="F718" i="2"/>
  <c r="E718" i="2"/>
  <c r="F717" i="2"/>
  <c r="E717" i="2"/>
  <c r="F716" i="2"/>
  <c r="E716" i="2"/>
  <c r="F715" i="2"/>
  <c r="E715" i="2"/>
  <c r="F714" i="2"/>
  <c r="E714" i="2"/>
  <c r="F713" i="2"/>
  <c r="E713" i="2"/>
  <c r="B713" i="2"/>
  <c r="F711" i="2"/>
  <c r="E711" i="2"/>
  <c r="F710" i="2"/>
  <c r="E710" i="2"/>
  <c r="F709" i="2"/>
  <c r="E709" i="2"/>
  <c r="F708" i="2"/>
  <c r="E708" i="2"/>
  <c r="F707" i="2"/>
  <c r="E707" i="2"/>
  <c r="B707" i="2"/>
  <c r="F705" i="2"/>
  <c r="E705" i="2"/>
  <c r="F704" i="2"/>
  <c r="E704" i="2"/>
  <c r="B704" i="2"/>
  <c r="F703" i="2"/>
  <c r="E703" i="2"/>
  <c r="F702" i="2"/>
  <c r="E702" i="2"/>
  <c r="B702" i="2"/>
  <c r="F701" i="2"/>
  <c r="E701" i="2"/>
  <c r="B701" i="2"/>
  <c r="F699" i="2"/>
  <c r="E699" i="2"/>
  <c r="F698" i="2"/>
  <c r="E698" i="2"/>
  <c r="F697" i="2"/>
  <c r="E697" i="2"/>
  <c r="F696" i="2"/>
  <c r="E696" i="2"/>
  <c r="F695" i="2"/>
  <c r="E695" i="2"/>
  <c r="F694" i="2"/>
  <c r="E694" i="2"/>
  <c r="F693" i="2"/>
  <c r="E693" i="2"/>
  <c r="F692" i="2"/>
  <c r="E692" i="2"/>
  <c r="F691" i="2"/>
  <c r="E691" i="2"/>
  <c r="F690" i="2"/>
  <c r="E690" i="2"/>
  <c r="B690" i="2"/>
  <c r="H688" i="2"/>
  <c r="F688" i="2"/>
  <c r="E688" i="2"/>
  <c r="B688" i="2"/>
  <c r="F687" i="2"/>
  <c r="E687" i="2"/>
  <c r="F686" i="2"/>
  <c r="E686" i="2"/>
  <c r="F685" i="2"/>
  <c r="E685" i="2"/>
  <c r="F684" i="2"/>
  <c r="E684" i="2"/>
  <c r="F683" i="2"/>
  <c r="E683" i="2"/>
  <c r="B683" i="2"/>
  <c r="F682" i="2"/>
  <c r="E682" i="2"/>
  <c r="F681" i="2"/>
  <c r="E681" i="2"/>
  <c r="F680" i="2"/>
  <c r="E680" i="2"/>
  <c r="F679" i="2"/>
  <c r="E679" i="2"/>
  <c r="F678" i="2"/>
  <c r="E678" i="2"/>
  <c r="B678" i="2"/>
  <c r="F677" i="2"/>
  <c r="E677" i="2"/>
  <c r="F676" i="2"/>
  <c r="E676" i="2"/>
  <c r="F675" i="2"/>
  <c r="E675" i="2"/>
  <c r="F674" i="2"/>
  <c r="E674" i="2"/>
  <c r="F673" i="2"/>
  <c r="E673" i="2"/>
  <c r="B673" i="2"/>
  <c r="F670" i="2"/>
  <c r="E670" i="2"/>
  <c r="B670" i="2"/>
  <c r="F669" i="2"/>
  <c r="E669" i="2"/>
  <c r="B669" i="2"/>
  <c r="F668" i="2"/>
  <c r="E668" i="2"/>
  <c r="B668" i="2"/>
  <c r="F667" i="2"/>
  <c r="E667" i="2"/>
  <c r="B667" i="2"/>
  <c r="F666" i="2"/>
  <c r="E666" i="2"/>
  <c r="B666" i="2"/>
  <c r="F665" i="2"/>
  <c r="E665" i="2"/>
  <c r="B665" i="2"/>
  <c r="F664" i="2"/>
  <c r="E664" i="2"/>
  <c r="B664" i="2"/>
  <c r="F663" i="2"/>
  <c r="E663" i="2"/>
  <c r="B663" i="2"/>
  <c r="F662" i="2"/>
  <c r="E662" i="2"/>
  <c r="B662" i="2"/>
  <c r="F661" i="2"/>
  <c r="E661" i="2"/>
  <c r="B661" i="2"/>
  <c r="F660" i="2"/>
  <c r="E660" i="2"/>
  <c r="B660" i="2"/>
  <c r="F659" i="2"/>
  <c r="E659" i="2"/>
  <c r="B659" i="2"/>
  <c r="F657" i="2"/>
  <c r="E657" i="2"/>
  <c r="F656" i="2"/>
  <c r="E656" i="2"/>
  <c r="B656" i="2"/>
  <c r="F655" i="2"/>
  <c r="E655" i="2"/>
  <c r="F654" i="2"/>
  <c r="E654" i="2"/>
  <c r="B654" i="2"/>
  <c r="F653" i="2"/>
  <c r="E653" i="2"/>
  <c r="F652" i="2"/>
  <c r="E652" i="2"/>
  <c r="B652" i="2"/>
  <c r="F651" i="2"/>
  <c r="E651" i="2"/>
  <c r="F650" i="2"/>
  <c r="E650" i="2"/>
  <c r="B650" i="2"/>
  <c r="F649" i="2"/>
  <c r="E649" i="2"/>
  <c r="F648" i="2"/>
  <c r="E648" i="2"/>
  <c r="B648" i="2"/>
  <c r="F647" i="2"/>
  <c r="E647" i="2"/>
  <c r="F646" i="2"/>
  <c r="E646" i="2"/>
  <c r="B646" i="2"/>
  <c r="F644" i="2"/>
  <c r="E644" i="2"/>
  <c r="F643" i="2"/>
  <c r="E643" i="2"/>
  <c r="F642" i="2"/>
  <c r="E642" i="2"/>
  <c r="F641" i="2"/>
  <c r="E641" i="2"/>
  <c r="F640" i="2"/>
  <c r="E640" i="2"/>
  <c r="F639" i="2"/>
  <c r="E639" i="2"/>
  <c r="F638" i="2"/>
  <c r="E638" i="2"/>
  <c r="F637" i="2"/>
  <c r="E637" i="2"/>
  <c r="B637" i="2"/>
  <c r="F636" i="2"/>
  <c r="E636" i="2"/>
  <c r="F635" i="2"/>
  <c r="E635" i="2"/>
  <c r="F634" i="2"/>
  <c r="E634" i="2"/>
  <c r="F633" i="2"/>
  <c r="E633" i="2"/>
  <c r="B633" i="2"/>
  <c r="F632" i="2"/>
  <c r="E632" i="2"/>
  <c r="F631" i="2"/>
  <c r="E631" i="2"/>
  <c r="F630" i="2"/>
  <c r="E630" i="2"/>
  <c r="F629" i="2"/>
  <c r="E629" i="2"/>
  <c r="B629" i="2"/>
  <c r="F628" i="2"/>
  <c r="E628" i="2"/>
  <c r="F627" i="2"/>
  <c r="E627" i="2"/>
  <c r="B627" i="2"/>
  <c r="F626" i="2"/>
  <c r="E626" i="2"/>
  <c r="F625" i="2"/>
  <c r="E625" i="2"/>
  <c r="B625" i="2"/>
  <c r="F623" i="2"/>
  <c r="E623" i="2"/>
  <c r="F622" i="2"/>
  <c r="E622" i="2"/>
  <c r="B622" i="2"/>
  <c r="F621" i="2"/>
  <c r="E621" i="2"/>
  <c r="F620" i="2"/>
  <c r="E620" i="2"/>
  <c r="F619" i="2"/>
  <c r="E619" i="2"/>
  <c r="F618" i="2"/>
  <c r="E618" i="2"/>
  <c r="F617" i="2"/>
  <c r="E617" i="2"/>
  <c r="B617" i="2"/>
  <c r="F616" i="2"/>
  <c r="E616" i="2"/>
  <c r="F615" i="2"/>
  <c r="E615" i="2"/>
  <c r="F614" i="2"/>
  <c r="E614" i="2"/>
  <c r="B614" i="2"/>
  <c r="F613" i="2"/>
  <c r="E613" i="2"/>
  <c r="B613" i="2"/>
  <c r="F612" i="2"/>
  <c r="E612" i="2"/>
  <c r="F611" i="2"/>
  <c r="E611" i="2"/>
  <c r="F610" i="2"/>
  <c r="E610" i="2"/>
  <c r="B610" i="2"/>
  <c r="F607" i="2"/>
  <c r="E607" i="2"/>
  <c r="F606" i="2"/>
  <c r="E606" i="2"/>
  <c r="B606" i="2"/>
  <c r="F604" i="2"/>
  <c r="E604" i="2"/>
  <c r="F603" i="2"/>
  <c r="E603" i="2"/>
  <c r="F602" i="2"/>
  <c r="E602" i="2"/>
  <c r="F601" i="2"/>
  <c r="E601" i="2"/>
  <c r="F600" i="2"/>
  <c r="E600" i="2"/>
  <c r="B600" i="2"/>
  <c r="F599" i="2"/>
  <c r="E599" i="2"/>
  <c r="F598" i="2"/>
  <c r="E598" i="2"/>
  <c r="F597" i="2"/>
  <c r="E597" i="2"/>
  <c r="F596" i="2"/>
  <c r="E596" i="2"/>
  <c r="F595" i="2"/>
  <c r="E595" i="2"/>
  <c r="B595" i="2"/>
  <c r="F593" i="2"/>
  <c r="E593" i="2"/>
  <c r="F592" i="2"/>
  <c r="E592" i="2"/>
  <c r="B592" i="2"/>
  <c r="F590" i="2"/>
  <c r="E590" i="2"/>
  <c r="F589" i="2"/>
  <c r="E589" i="2"/>
  <c r="B589" i="2"/>
  <c r="F587" i="2"/>
  <c r="E587" i="2"/>
  <c r="F586" i="2"/>
  <c r="E586" i="2"/>
  <c r="B586" i="2"/>
  <c r="F584" i="2"/>
  <c r="E584" i="2"/>
  <c r="F583" i="2"/>
  <c r="E583" i="2"/>
  <c r="F582" i="2"/>
  <c r="E582" i="2"/>
  <c r="B582" i="2"/>
  <c r="F580" i="2"/>
  <c r="E580" i="2"/>
  <c r="F579" i="2"/>
  <c r="E579" i="2"/>
  <c r="F578" i="2"/>
  <c r="E578" i="2"/>
  <c r="B578" i="2"/>
  <c r="F576" i="2"/>
  <c r="E576" i="2"/>
  <c r="F575" i="2"/>
  <c r="E575" i="2"/>
  <c r="F574" i="2"/>
  <c r="E574" i="2"/>
  <c r="B574" i="2"/>
  <c r="F572" i="2"/>
  <c r="E572" i="2"/>
  <c r="F571" i="2"/>
  <c r="E571" i="2"/>
  <c r="F570" i="2"/>
  <c r="E570" i="2"/>
  <c r="B570" i="2"/>
  <c r="F568" i="2"/>
  <c r="E568" i="2"/>
  <c r="F567" i="2"/>
  <c r="E567" i="2"/>
  <c r="F566" i="2"/>
  <c r="E566" i="2"/>
  <c r="B566" i="2"/>
  <c r="F564" i="2"/>
  <c r="E564" i="2"/>
  <c r="F563" i="2"/>
  <c r="E563" i="2"/>
  <c r="F562" i="2"/>
  <c r="E562" i="2"/>
  <c r="B562" i="2"/>
  <c r="F560" i="2"/>
  <c r="E560" i="2"/>
  <c r="F559" i="2"/>
  <c r="E559" i="2"/>
  <c r="F558" i="2"/>
  <c r="E558" i="2"/>
  <c r="B558" i="2"/>
  <c r="F556" i="2"/>
  <c r="E556" i="2"/>
  <c r="F555" i="2"/>
  <c r="E555" i="2"/>
  <c r="F554" i="2"/>
  <c r="E554" i="2"/>
  <c r="B554" i="2"/>
  <c r="F552" i="2"/>
  <c r="E552" i="2"/>
  <c r="F551" i="2"/>
  <c r="E551" i="2"/>
  <c r="F550" i="2"/>
  <c r="E550" i="2"/>
  <c r="B550" i="2"/>
  <c r="F548" i="2"/>
  <c r="E548" i="2"/>
  <c r="F547" i="2"/>
  <c r="E547" i="2"/>
  <c r="F546" i="2"/>
  <c r="E546" i="2"/>
  <c r="B546" i="2"/>
  <c r="F544" i="2"/>
  <c r="E544" i="2"/>
  <c r="F543" i="2"/>
  <c r="E543" i="2"/>
  <c r="F542" i="2"/>
  <c r="E542" i="2"/>
  <c r="B542" i="2"/>
  <c r="H538" i="2"/>
  <c r="F538" i="2"/>
  <c r="E538" i="2"/>
  <c r="H537" i="2"/>
  <c r="F537" i="2"/>
  <c r="E537" i="2"/>
  <c r="H536" i="2"/>
  <c r="F536" i="2"/>
  <c r="E536" i="2"/>
  <c r="F535" i="2"/>
  <c r="E535" i="2"/>
  <c r="F534" i="2"/>
  <c r="E534" i="2"/>
  <c r="F533" i="2"/>
  <c r="E533" i="2"/>
  <c r="F532" i="2"/>
  <c r="E532" i="2"/>
  <c r="F531" i="2"/>
  <c r="E531" i="2"/>
  <c r="F530" i="2"/>
  <c r="E530" i="2"/>
  <c r="F529" i="2"/>
  <c r="E529" i="2"/>
  <c r="F528" i="2"/>
  <c r="E528" i="2"/>
  <c r="F527" i="2"/>
  <c r="E527" i="2"/>
  <c r="F526" i="2"/>
  <c r="E526" i="2"/>
  <c r="F525" i="2"/>
  <c r="E525" i="2"/>
  <c r="F524" i="2"/>
  <c r="E524" i="2"/>
  <c r="F523" i="2"/>
  <c r="E523" i="2"/>
  <c r="F522" i="2"/>
  <c r="E522" i="2"/>
  <c r="F521" i="2"/>
  <c r="E521" i="2"/>
  <c r="F520" i="2"/>
  <c r="E520" i="2"/>
  <c r="F519" i="2"/>
  <c r="E519" i="2"/>
  <c r="F518" i="2"/>
  <c r="E518" i="2"/>
  <c r="F517" i="2"/>
  <c r="E517" i="2"/>
  <c r="F516" i="2"/>
  <c r="E516" i="2"/>
  <c r="F515" i="2"/>
  <c r="E515" i="2"/>
  <c r="F514" i="2"/>
  <c r="E514" i="2"/>
  <c r="F513" i="2"/>
  <c r="E513" i="2"/>
  <c r="F512" i="2"/>
  <c r="E512" i="2"/>
  <c r="F511" i="2"/>
  <c r="E511" i="2"/>
  <c r="B511" i="2"/>
  <c r="F509" i="2"/>
  <c r="E509" i="2"/>
  <c r="F508" i="2"/>
  <c r="E508" i="2"/>
  <c r="F507" i="2"/>
  <c r="E507" i="2"/>
  <c r="F506" i="2"/>
  <c r="E506" i="2"/>
  <c r="F505" i="2"/>
  <c r="E505" i="2"/>
  <c r="F504" i="2"/>
  <c r="E504" i="2"/>
  <c r="F503" i="2"/>
  <c r="E503" i="2"/>
  <c r="B503" i="2"/>
  <c r="F501" i="2"/>
  <c r="E501" i="2"/>
  <c r="B501" i="2"/>
  <c r="F500" i="2"/>
  <c r="E500" i="2"/>
  <c r="B500" i="2"/>
  <c r="F499" i="2"/>
  <c r="E499" i="2"/>
  <c r="B499" i="2"/>
  <c r="F497" i="2"/>
  <c r="E497" i="2"/>
  <c r="B497" i="2"/>
  <c r="F496" i="2"/>
  <c r="E496" i="2"/>
  <c r="B496" i="2"/>
  <c r="F495" i="2"/>
  <c r="E495" i="2"/>
  <c r="B495" i="2"/>
  <c r="F494" i="2"/>
  <c r="E494" i="2"/>
  <c r="B494" i="2"/>
  <c r="H493" i="2"/>
  <c r="F493" i="2"/>
  <c r="E493" i="2"/>
  <c r="B493" i="2"/>
  <c r="F490" i="2"/>
  <c r="E490" i="2"/>
  <c r="F489" i="2"/>
  <c r="E489" i="2"/>
  <c r="F488" i="2"/>
  <c r="E488" i="2"/>
  <c r="F487" i="2"/>
  <c r="E487" i="2"/>
  <c r="F486" i="2"/>
  <c r="E486" i="2"/>
  <c r="F485" i="2"/>
  <c r="E485" i="2"/>
  <c r="B485" i="2"/>
  <c r="F484" i="2"/>
  <c r="E484" i="2"/>
  <c r="F483" i="2"/>
  <c r="E483" i="2"/>
  <c r="B483" i="2"/>
  <c r="F482" i="2"/>
  <c r="E482" i="2"/>
  <c r="F481" i="2"/>
  <c r="E481" i="2"/>
  <c r="B481" i="2"/>
  <c r="F479" i="2"/>
  <c r="E479" i="2"/>
  <c r="F478" i="2"/>
  <c r="E478" i="2"/>
  <c r="F477" i="2"/>
  <c r="E477" i="2"/>
  <c r="F476" i="2"/>
  <c r="E476" i="2"/>
  <c r="F475" i="2"/>
  <c r="E475" i="2"/>
  <c r="F474" i="2"/>
  <c r="E474" i="2"/>
  <c r="F473" i="2"/>
  <c r="E473" i="2"/>
  <c r="F472" i="2"/>
  <c r="E472" i="2"/>
  <c r="F471" i="2"/>
  <c r="E471" i="2"/>
  <c r="F470" i="2"/>
  <c r="E470" i="2"/>
  <c r="B470" i="2"/>
  <c r="F469" i="2"/>
  <c r="E469" i="2"/>
  <c r="F468" i="2"/>
  <c r="E468" i="2"/>
  <c r="F467" i="2"/>
  <c r="E467" i="2"/>
  <c r="F466" i="2"/>
  <c r="E466" i="2"/>
  <c r="F465" i="2"/>
  <c r="E465" i="2"/>
  <c r="F464" i="2"/>
  <c r="E464" i="2"/>
  <c r="F463" i="2"/>
  <c r="E463" i="2"/>
  <c r="F462" i="2"/>
  <c r="E462" i="2"/>
  <c r="F461" i="2"/>
  <c r="E461" i="2"/>
  <c r="B461" i="2"/>
  <c r="F460" i="2"/>
  <c r="E460" i="2"/>
  <c r="F459" i="2"/>
  <c r="E459" i="2"/>
  <c r="F458" i="2"/>
  <c r="E458" i="2"/>
  <c r="F457" i="2"/>
  <c r="E457" i="2"/>
  <c r="F456" i="2"/>
  <c r="E456" i="2"/>
  <c r="F455" i="2"/>
  <c r="E455" i="2"/>
  <c r="F454" i="2"/>
  <c r="E454" i="2"/>
  <c r="F453" i="2"/>
  <c r="E453" i="2"/>
  <c r="F452" i="2"/>
  <c r="E452" i="2"/>
  <c r="B452" i="2"/>
  <c r="F451" i="2"/>
  <c r="E451" i="2"/>
  <c r="F450" i="2"/>
  <c r="E450" i="2"/>
  <c r="F449" i="2"/>
  <c r="E449" i="2"/>
  <c r="F448" i="2"/>
  <c r="E448" i="2"/>
  <c r="F447" i="2"/>
  <c r="E447" i="2"/>
  <c r="F446" i="2"/>
  <c r="E446" i="2"/>
  <c r="F445" i="2"/>
  <c r="E445" i="2"/>
  <c r="F444" i="2"/>
  <c r="E444" i="2"/>
  <c r="F443" i="2"/>
  <c r="E443" i="2"/>
  <c r="B443" i="2"/>
  <c r="F442" i="2"/>
  <c r="E442" i="2"/>
  <c r="F441" i="2"/>
  <c r="E441" i="2"/>
  <c r="F440" i="2"/>
  <c r="E440" i="2"/>
  <c r="F439" i="2"/>
  <c r="E439" i="2"/>
  <c r="F438" i="2"/>
  <c r="E438" i="2"/>
  <c r="F437" i="2"/>
  <c r="E437" i="2"/>
  <c r="F436" i="2"/>
  <c r="E436" i="2"/>
  <c r="F435" i="2"/>
  <c r="E435" i="2"/>
  <c r="F434" i="2"/>
  <c r="E434" i="2"/>
  <c r="B434" i="2"/>
  <c r="F433" i="2"/>
  <c r="E433" i="2"/>
  <c r="F432" i="2"/>
  <c r="E432" i="2"/>
  <c r="F431" i="2"/>
  <c r="E431" i="2"/>
  <c r="F430" i="2"/>
  <c r="E430" i="2"/>
  <c r="F429" i="2"/>
  <c r="E429" i="2"/>
  <c r="F428" i="2"/>
  <c r="E428" i="2"/>
  <c r="F427" i="2"/>
  <c r="E427" i="2"/>
  <c r="F426" i="2"/>
  <c r="E426" i="2"/>
  <c r="F425" i="2"/>
  <c r="E425" i="2"/>
  <c r="B425" i="2"/>
  <c r="F424" i="2"/>
  <c r="E424" i="2"/>
  <c r="F423" i="2"/>
  <c r="E423" i="2"/>
  <c r="F422" i="2"/>
  <c r="E422" i="2"/>
  <c r="F421" i="2"/>
  <c r="E421" i="2"/>
  <c r="F420" i="2"/>
  <c r="E420" i="2"/>
  <c r="F419" i="2"/>
  <c r="E419" i="2"/>
  <c r="F418" i="2"/>
  <c r="E418" i="2"/>
  <c r="F417" i="2"/>
  <c r="E417" i="2"/>
  <c r="F416" i="2"/>
  <c r="E416" i="2"/>
  <c r="B416" i="2"/>
  <c r="F415" i="2"/>
  <c r="E415" i="2"/>
  <c r="F414" i="2"/>
  <c r="E414" i="2"/>
  <c r="F413" i="2"/>
  <c r="E413" i="2"/>
  <c r="F412" i="2"/>
  <c r="E412" i="2"/>
  <c r="F411" i="2"/>
  <c r="E411" i="2"/>
  <c r="F410" i="2"/>
  <c r="E410" i="2"/>
  <c r="F409" i="2"/>
  <c r="E409" i="2"/>
  <c r="F408" i="2"/>
  <c r="E408" i="2"/>
  <c r="F407" i="2"/>
  <c r="E407" i="2"/>
  <c r="B407" i="2"/>
  <c r="F406" i="2"/>
  <c r="E406" i="2"/>
  <c r="F405" i="2"/>
  <c r="E405" i="2"/>
  <c r="F404" i="2"/>
  <c r="E404" i="2"/>
  <c r="F403" i="2"/>
  <c r="E403" i="2"/>
  <c r="F402" i="2"/>
  <c r="E402" i="2"/>
  <c r="F401" i="2"/>
  <c r="E401" i="2"/>
  <c r="F400" i="2"/>
  <c r="E400" i="2"/>
  <c r="F399" i="2"/>
  <c r="E399" i="2"/>
  <c r="F398" i="2"/>
  <c r="E398" i="2"/>
  <c r="B398" i="2"/>
  <c r="F396" i="2"/>
  <c r="E396" i="2"/>
  <c r="F395" i="2"/>
  <c r="E395" i="2"/>
  <c r="F394" i="2"/>
  <c r="E394" i="2"/>
  <c r="F393" i="2"/>
  <c r="E393" i="2"/>
  <c r="F392" i="2"/>
  <c r="E392" i="2"/>
  <c r="B392" i="2"/>
  <c r="F390" i="2"/>
  <c r="E390" i="2"/>
  <c r="F389" i="2"/>
  <c r="E389" i="2"/>
  <c r="F388" i="2"/>
  <c r="E388" i="2"/>
  <c r="F387" i="2"/>
  <c r="E387" i="2"/>
  <c r="F386" i="2"/>
  <c r="E386" i="2"/>
  <c r="F385" i="2"/>
  <c r="E385" i="2"/>
  <c r="F384" i="2"/>
  <c r="E384" i="2"/>
  <c r="B384" i="2"/>
  <c r="F383" i="2"/>
  <c r="E383" i="2"/>
  <c r="F382" i="2"/>
  <c r="E382" i="2"/>
  <c r="F381" i="2"/>
  <c r="E381" i="2"/>
  <c r="F380" i="2"/>
  <c r="E380" i="2"/>
  <c r="F379" i="2"/>
  <c r="E379" i="2"/>
  <c r="F378" i="2"/>
  <c r="E378" i="2"/>
  <c r="B378" i="2"/>
  <c r="F377" i="2"/>
  <c r="E377" i="2"/>
  <c r="F376" i="2"/>
  <c r="E376" i="2"/>
  <c r="F375" i="2"/>
  <c r="E375" i="2"/>
  <c r="F374" i="2"/>
  <c r="E374" i="2"/>
  <c r="F373" i="2"/>
  <c r="E373" i="2"/>
  <c r="F372" i="2"/>
  <c r="E372" i="2"/>
  <c r="B372" i="2"/>
  <c r="F371" i="2"/>
  <c r="E371" i="2"/>
  <c r="F370" i="2"/>
  <c r="E370" i="2"/>
  <c r="F369" i="2"/>
  <c r="E369" i="2"/>
  <c r="F368" i="2"/>
  <c r="E368" i="2"/>
  <c r="F367" i="2"/>
  <c r="E367" i="2"/>
  <c r="F366" i="2"/>
  <c r="E366" i="2"/>
  <c r="B366" i="2"/>
  <c r="F365" i="2"/>
  <c r="E365" i="2"/>
  <c r="F364" i="2"/>
  <c r="E364" i="2"/>
  <c r="F363" i="2"/>
  <c r="E363" i="2"/>
  <c r="F362" i="2"/>
  <c r="E362" i="2"/>
  <c r="F361" i="2"/>
  <c r="E361" i="2"/>
  <c r="F360" i="2"/>
  <c r="E360" i="2"/>
  <c r="B360" i="2"/>
  <c r="F359" i="2"/>
  <c r="E359" i="2"/>
  <c r="F358" i="2"/>
  <c r="E358" i="2"/>
  <c r="F357" i="2"/>
  <c r="E357" i="2"/>
  <c r="F356" i="2"/>
  <c r="E356" i="2"/>
  <c r="F355" i="2"/>
  <c r="E355" i="2"/>
  <c r="F354" i="2"/>
  <c r="E354" i="2"/>
  <c r="B354" i="2"/>
  <c r="F353" i="2"/>
  <c r="E353" i="2"/>
  <c r="F352" i="2"/>
  <c r="E352" i="2"/>
  <c r="F351" i="2"/>
  <c r="E351" i="2"/>
  <c r="F350" i="2"/>
  <c r="E350" i="2"/>
  <c r="F349" i="2"/>
  <c r="E349" i="2"/>
  <c r="F348" i="2"/>
  <c r="E348" i="2"/>
  <c r="B348" i="2"/>
  <c r="F347" i="2"/>
  <c r="E347" i="2"/>
  <c r="F346" i="2"/>
  <c r="E346" i="2"/>
  <c r="F345" i="2"/>
  <c r="E345" i="2"/>
  <c r="F344" i="2"/>
  <c r="E344" i="2"/>
  <c r="F343" i="2"/>
  <c r="E343" i="2"/>
  <c r="F342" i="2"/>
  <c r="E342" i="2"/>
  <c r="B342" i="2"/>
  <c r="F340" i="2"/>
  <c r="E340" i="2"/>
  <c r="F339" i="2"/>
  <c r="E339" i="2"/>
  <c r="F338" i="2"/>
  <c r="E338" i="2"/>
  <c r="F337" i="2"/>
  <c r="E337" i="2"/>
  <c r="F336" i="2"/>
  <c r="E336" i="2"/>
  <c r="F335" i="2"/>
  <c r="E335" i="2"/>
  <c r="F334" i="2"/>
  <c r="E334" i="2"/>
  <c r="B334" i="2"/>
  <c r="F333" i="2"/>
  <c r="E333" i="2"/>
  <c r="F332" i="2"/>
  <c r="E332" i="2"/>
  <c r="F331" i="2"/>
  <c r="E331" i="2"/>
  <c r="F330" i="2"/>
  <c r="E330" i="2"/>
  <c r="F329" i="2"/>
  <c r="E329" i="2"/>
  <c r="F328" i="2"/>
  <c r="E328" i="2"/>
  <c r="B328" i="2"/>
  <c r="F327" i="2"/>
  <c r="E327" i="2"/>
  <c r="F326" i="2"/>
  <c r="E326" i="2"/>
  <c r="F325" i="2"/>
  <c r="E325" i="2"/>
  <c r="F324" i="2"/>
  <c r="E324" i="2"/>
  <c r="F323" i="2"/>
  <c r="E323" i="2"/>
  <c r="F322" i="2"/>
  <c r="E322" i="2"/>
  <c r="B322" i="2"/>
  <c r="F321" i="2"/>
  <c r="E321" i="2"/>
  <c r="F320" i="2"/>
  <c r="E320" i="2"/>
  <c r="F319" i="2"/>
  <c r="E319" i="2"/>
  <c r="F318" i="2"/>
  <c r="E318" i="2"/>
  <c r="F317" i="2"/>
  <c r="E317" i="2"/>
  <c r="F316" i="2"/>
  <c r="E316" i="2"/>
  <c r="B316" i="2"/>
  <c r="F315" i="2"/>
  <c r="E315" i="2"/>
  <c r="F314" i="2"/>
  <c r="E314" i="2"/>
  <c r="F313" i="2"/>
  <c r="E313" i="2"/>
  <c r="F312" i="2"/>
  <c r="E312" i="2"/>
  <c r="F311" i="2"/>
  <c r="E311" i="2"/>
  <c r="F310" i="2"/>
  <c r="E310" i="2"/>
  <c r="B310" i="2"/>
  <c r="F309" i="2"/>
  <c r="E309" i="2"/>
  <c r="F308" i="2"/>
  <c r="E308" i="2"/>
  <c r="F307" i="2"/>
  <c r="E307" i="2"/>
  <c r="F306" i="2"/>
  <c r="E306" i="2"/>
  <c r="F305" i="2"/>
  <c r="E305" i="2"/>
  <c r="F304" i="2"/>
  <c r="E304" i="2"/>
  <c r="B304" i="2"/>
  <c r="F302" i="2"/>
  <c r="E302" i="2"/>
  <c r="F301" i="2"/>
  <c r="E301" i="2"/>
  <c r="F300" i="2"/>
  <c r="E300" i="2"/>
  <c r="F299" i="2"/>
  <c r="E299" i="2"/>
  <c r="F298" i="2"/>
  <c r="E298" i="2"/>
  <c r="F297" i="2"/>
  <c r="E297" i="2"/>
  <c r="F296" i="2"/>
  <c r="E296" i="2"/>
  <c r="B296" i="2"/>
  <c r="F295" i="2"/>
  <c r="E295" i="2"/>
  <c r="F294" i="2"/>
  <c r="E294" i="2"/>
  <c r="F293" i="2"/>
  <c r="E293" i="2"/>
  <c r="F292" i="2"/>
  <c r="E292" i="2"/>
  <c r="F291" i="2"/>
  <c r="E291" i="2"/>
  <c r="F290" i="2"/>
  <c r="E290" i="2"/>
  <c r="B290" i="2"/>
  <c r="F289" i="2"/>
  <c r="E289" i="2"/>
  <c r="F288" i="2"/>
  <c r="E288" i="2"/>
  <c r="F287" i="2"/>
  <c r="E287" i="2"/>
  <c r="F286" i="2"/>
  <c r="E286" i="2"/>
  <c r="F285" i="2"/>
  <c r="E285" i="2"/>
  <c r="F284" i="2"/>
  <c r="E284" i="2"/>
  <c r="B284" i="2"/>
  <c r="F283" i="2"/>
  <c r="E283" i="2"/>
  <c r="F282" i="2"/>
  <c r="E282" i="2"/>
  <c r="F281" i="2"/>
  <c r="E281" i="2"/>
  <c r="F280" i="2"/>
  <c r="E280" i="2"/>
  <c r="F279" i="2"/>
  <c r="E279" i="2"/>
  <c r="F278" i="2"/>
  <c r="E278" i="2"/>
  <c r="B278" i="2"/>
  <c r="F277" i="2"/>
  <c r="E277" i="2"/>
  <c r="F276" i="2"/>
  <c r="E276" i="2"/>
  <c r="F275" i="2"/>
  <c r="E275" i="2"/>
  <c r="F274" i="2"/>
  <c r="E274" i="2"/>
  <c r="F273" i="2"/>
  <c r="E273" i="2"/>
  <c r="F272" i="2"/>
  <c r="E272" i="2"/>
  <c r="B272" i="2"/>
  <c r="F271" i="2"/>
  <c r="E271" i="2"/>
  <c r="F270" i="2"/>
  <c r="E270" i="2"/>
  <c r="F269" i="2"/>
  <c r="E269" i="2"/>
  <c r="F268" i="2"/>
  <c r="E268" i="2"/>
  <c r="F267" i="2"/>
  <c r="E267" i="2"/>
  <c r="F266" i="2"/>
  <c r="E266" i="2"/>
  <c r="B266" i="2"/>
  <c r="F263" i="2"/>
  <c r="E263" i="2"/>
  <c r="B263" i="2"/>
  <c r="F261" i="2"/>
  <c r="E261" i="2"/>
  <c r="F260" i="2"/>
  <c r="E260" i="2"/>
  <c r="F259" i="2"/>
  <c r="E259" i="2"/>
  <c r="B259" i="2"/>
  <c r="F258" i="2"/>
  <c r="E258" i="2"/>
  <c r="F257" i="2"/>
  <c r="E257" i="2"/>
  <c r="F256" i="2"/>
  <c r="E256" i="2"/>
  <c r="F255" i="2"/>
  <c r="E255" i="2"/>
  <c r="F254" i="2"/>
  <c r="E254" i="2"/>
  <c r="F253" i="2"/>
  <c r="E253" i="2"/>
  <c r="F252" i="2"/>
  <c r="E252" i="2"/>
  <c r="F251" i="2"/>
  <c r="E251" i="2"/>
  <c r="F250" i="2"/>
  <c r="E250" i="2"/>
  <c r="F249" i="2"/>
  <c r="E249" i="2"/>
  <c r="F248" i="2"/>
  <c r="E248" i="2"/>
  <c r="F247" i="2"/>
  <c r="E247" i="2"/>
  <c r="F246" i="2"/>
  <c r="E246" i="2"/>
  <c r="F245" i="2"/>
  <c r="E245" i="2"/>
  <c r="F244" i="2"/>
  <c r="E244" i="2"/>
  <c r="B244" i="2"/>
  <c r="F242" i="2"/>
  <c r="E242" i="2"/>
  <c r="B242" i="2"/>
  <c r="F240" i="2"/>
  <c r="E240" i="2"/>
  <c r="F239" i="2"/>
  <c r="E239" i="2"/>
  <c r="F238" i="2"/>
  <c r="E238" i="2"/>
  <c r="F237" i="2"/>
  <c r="E237" i="2"/>
  <c r="F236" i="2"/>
  <c r="E236" i="2"/>
  <c r="F235" i="2"/>
  <c r="E235" i="2"/>
  <c r="F234" i="2"/>
  <c r="E234" i="2"/>
  <c r="F233" i="2"/>
  <c r="E233" i="2"/>
  <c r="B233" i="2"/>
  <c r="F232" i="2"/>
  <c r="E232" i="2"/>
  <c r="F231" i="2"/>
  <c r="E231" i="2"/>
  <c r="F230" i="2"/>
  <c r="E230" i="2"/>
  <c r="F229" i="2"/>
  <c r="E229" i="2"/>
  <c r="F228" i="2"/>
  <c r="E228" i="2"/>
  <c r="F227" i="2"/>
  <c r="E227" i="2"/>
  <c r="F226" i="2"/>
  <c r="E226" i="2"/>
  <c r="B226" i="2"/>
  <c r="F225" i="2"/>
  <c r="E225" i="2"/>
  <c r="F224" i="2"/>
  <c r="E224" i="2"/>
  <c r="F223" i="2"/>
  <c r="E223" i="2"/>
  <c r="F222" i="2"/>
  <c r="E222" i="2"/>
  <c r="F221" i="2"/>
  <c r="E221" i="2"/>
  <c r="F220" i="2"/>
  <c r="E220" i="2"/>
  <c r="F219" i="2"/>
  <c r="E219" i="2"/>
  <c r="B219" i="2"/>
  <c r="F218" i="2"/>
  <c r="E218" i="2"/>
  <c r="F217" i="2"/>
  <c r="E217" i="2"/>
  <c r="F216" i="2"/>
  <c r="E216" i="2"/>
  <c r="F215" i="2"/>
  <c r="E215" i="2"/>
  <c r="F214" i="2"/>
  <c r="E214" i="2"/>
  <c r="F213" i="2"/>
  <c r="E213" i="2"/>
  <c r="F212" i="2"/>
  <c r="E212" i="2"/>
  <c r="B212" i="2"/>
  <c r="F211" i="2"/>
  <c r="E211" i="2"/>
  <c r="F210" i="2"/>
  <c r="E210" i="2"/>
  <c r="F209" i="2"/>
  <c r="E209" i="2"/>
  <c r="F208" i="2"/>
  <c r="E208" i="2"/>
  <c r="F207" i="2"/>
  <c r="E207" i="2"/>
  <c r="F206" i="2"/>
  <c r="E206" i="2"/>
  <c r="F205" i="2"/>
  <c r="E205" i="2"/>
  <c r="B205" i="2"/>
  <c r="F203" i="2"/>
  <c r="E203" i="2"/>
  <c r="F202" i="2"/>
  <c r="E202" i="2"/>
  <c r="F201" i="2"/>
  <c r="E201" i="2"/>
  <c r="F200" i="2"/>
  <c r="E200" i="2"/>
  <c r="F199" i="2"/>
  <c r="E199" i="2"/>
  <c r="F198" i="2"/>
  <c r="E198" i="2"/>
  <c r="F197" i="2"/>
  <c r="E197" i="2"/>
  <c r="F196" i="2"/>
  <c r="E196" i="2"/>
  <c r="B196" i="2"/>
  <c r="F195" i="2"/>
  <c r="E195" i="2"/>
  <c r="F194" i="2"/>
  <c r="E194" i="2"/>
  <c r="F193" i="2"/>
  <c r="E193" i="2"/>
  <c r="F192" i="2"/>
  <c r="E192" i="2"/>
  <c r="F191" i="2"/>
  <c r="E191" i="2"/>
  <c r="F190" i="2"/>
  <c r="E190" i="2"/>
  <c r="F189" i="2"/>
  <c r="E189" i="2"/>
  <c r="B189" i="2"/>
  <c r="F188" i="2"/>
  <c r="E188" i="2"/>
  <c r="F187" i="2"/>
  <c r="E187" i="2"/>
  <c r="F186" i="2"/>
  <c r="E186" i="2"/>
  <c r="F185" i="2"/>
  <c r="E185" i="2"/>
  <c r="F184" i="2"/>
  <c r="E184" i="2"/>
  <c r="F183" i="2"/>
  <c r="E183" i="2"/>
  <c r="F182" i="2"/>
  <c r="E182" i="2"/>
  <c r="B182" i="2"/>
  <c r="F181" i="2"/>
  <c r="E181" i="2"/>
  <c r="F180" i="2"/>
  <c r="E180" i="2"/>
  <c r="F179" i="2"/>
  <c r="E179" i="2"/>
  <c r="F178" i="2"/>
  <c r="E178" i="2"/>
  <c r="F177" i="2"/>
  <c r="E177" i="2"/>
  <c r="F176" i="2"/>
  <c r="E176" i="2"/>
  <c r="F175" i="2"/>
  <c r="E175" i="2"/>
  <c r="B175" i="2"/>
  <c r="F173" i="2"/>
  <c r="E173" i="2"/>
  <c r="F172" i="2"/>
  <c r="E172" i="2"/>
  <c r="F171" i="2"/>
  <c r="E171" i="2"/>
  <c r="F170" i="2"/>
  <c r="E170" i="2"/>
  <c r="F169" i="2"/>
  <c r="E169" i="2"/>
  <c r="F168" i="2"/>
  <c r="E168" i="2"/>
  <c r="F167" i="2"/>
  <c r="E167" i="2"/>
  <c r="F166" i="2"/>
  <c r="E166" i="2"/>
  <c r="B166" i="2"/>
  <c r="F165" i="2"/>
  <c r="E165" i="2"/>
  <c r="F164" i="2"/>
  <c r="E164" i="2"/>
  <c r="F163" i="2"/>
  <c r="E163" i="2"/>
  <c r="F162" i="2"/>
  <c r="E162" i="2"/>
  <c r="F161" i="2"/>
  <c r="E161" i="2"/>
  <c r="F160" i="2"/>
  <c r="E160" i="2"/>
  <c r="F159" i="2"/>
  <c r="E159" i="2"/>
  <c r="B159" i="2"/>
  <c r="F158" i="2"/>
  <c r="E158" i="2"/>
  <c r="F157" i="2"/>
  <c r="E157" i="2"/>
  <c r="F156" i="2"/>
  <c r="E156" i="2"/>
  <c r="F155" i="2"/>
  <c r="E155" i="2"/>
  <c r="F154" i="2"/>
  <c r="E154" i="2"/>
  <c r="F153" i="2"/>
  <c r="E153" i="2"/>
  <c r="F152" i="2"/>
  <c r="E152" i="2"/>
  <c r="B152" i="2"/>
  <c r="F151" i="2"/>
  <c r="E151" i="2"/>
  <c r="F150" i="2"/>
  <c r="E150" i="2"/>
  <c r="F149" i="2"/>
  <c r="E149" i="2"/>
  <c r="F148" i="2"/>
  <c r="E148" i="2"/>
  <c r="F147" i="2"/>
  <c r="E147" i="2"/>
  <c r="F146" i="2"/>
  <c r="E146" i="2"/>
  <c r="F145" i="2"/>
  <c r="E145" i="2"/>
  <c r="B145" i="2"/>
  <c r="F144" i="2"/>
  <c r="E144" i="2"/>
  <c r="F143" i="2"/>
  <c r="E143" i="2"/>
  <c r="F142" i="2"/>
  <c r="E142" i="2"/>
  <c r="F141" i="2"/>
  <c r="E141" i="2"/>
  <c r="F140" i="2"/>
  <c r="E140" i="2"/>
  <c r="F139" i="2"/>
  <c r="E139" i="2"/>
  <c r="F138" i="2"/>
  <c r="E138" i="2"/>
  <c r="B138" i="2"/>
  <c r="F137" i="2"/>
  <c r="E137" i="2"/>
  <c r="F136" i="2"/>
  <c r="E136" i="2"/>
  <c r="F135" i="2"/>
  <c r="E135" i="2"/>
  <c r="F134" i="2"/>
  <c r="E134" i="2"/>
  <c r="F133" i="2"/>
  <c r="E133" i="2"/>
  <c r="F132" i="2"/>
  <c r="E132" i="2"/>
  <c r="F131" i="2"/>
  <c r="E131" i="2"/>
  <c r="B131" i="2"/>
  <c r="F130" i="2"/>
  <c r="E130" i="2"/>
  <c r="F129" i="2"/>
  <c r="E129" i="2"/>
  <c r="F128" i="2"/>
  <c r="E128" i="2"/>
  <c r="F127" i="2"/>
  <c r="E127" i="2"/>
  <c r="F126" i="2"/>
  <c r="E126" i="2"/>
  <c r="F125" i="2"/>
  <c r="E125" i="2"/>
  <c r="F124" i="2"/>
  <c r="E124" i="2"/>
  <c r="B124" i="2"/>
  <c r="F123" i="2"/>
  <c r="E123" i="2"/>
  <c r="F122" i="2"/>
  <c r="E122" i="2"/>
  <c r="F121" i="2"/>
  <c r="E121" i="2"/>
  <c r="F120" i="2"/>
  <c r="E120" i="2"/>
  <c r="F119" i="2"/>
  <c r="E119" i="2"/>
  <c r="F118" i="2"/>
  <c r="E118" i="2"/>
  <c r="F117" i="2"/>
  <c r="E117" i="2"/>
  <c r="B117" i="2"/>
  <c r="F113" i="2"/>
  <c r="E113" i="2"/>
  <c r="F112" i="2"/>
  <c r="E112" i="2"/>
  <c r="F111" i="2"/>
  <c r="E111" i="2"/>
  <c r="F110" i="2"/>
  <c r="E110" i="2"/>
  <c r="F109" i="2"/>
  <c r="E109" i="2"/>
  <c r="F108" i="2"/>
  <c r="E108" i="2"/>
  <c r="F107" i="2"/>
  <c r="E107" i="2"/>
  <c r="F106" i="2"/>
  <c r="E106" i="2"/>
  <c r="F105" i="2"/>
  <c r="E105" i="2"/>
  <c r="F104" i="2"/>
  <c r="E104" i="2"/>
  <c r="F103" i="2"/>
  <c r="E103" i="2"/>
  <c r="F102" i="2"/>
  <c r="E102" i="2"/>
  <c r="F101" i="2"/>
  <c r="E101" i="2"/>
  <c r="F100" i="2"/>
  <c r="E100" i="2"/>
  <c r="F99" i="2"/>
  <c r="E99" i="2"/>
  <c r="F98" i="2"/>
  <c r="E98" i="2"/>
  <c r="B98" i="2"/>
  <c r="F96" i="2"/>
  <c r="E96" i="2"/>
  <c r="B96" i="2"/>
  <c r="F94" i="2"/>
  <c r="E94" i="2"/>
  <c r="F90" i="2"/>
  <c r="E90" i="2"/>
  <c r="F89" i="2"/>
  <c r="E89" i="2"/>
  <c r="F88" i="2"/>
  <c r="E88" i="2"/>
  <c r="F87" i="2"/>
  <c r="E87" i="2"/>
  <c r="F86" i="2"/>
  <c r="E86" i="2"/>
  <c r="F85" i="2"/>
  <c r="E85" i="2"/>
  <c r="F84" i="2"/>
  <c r="E84" i="2"/>
  <c r="F83" i="2"/>
  <c r="E83" i="2"/>
  <c r="F82" i="2"/>
  <c r="E82" i="2"/>
  <c r="F81" i="2"/>
  <c r="E81" i="2"/>
  <c r="F80" i="2"/>
  <c r="E80" i="2"/>
  <c r="F79" i="2"/>
  <c r="E79" i="2"/>
  <c r="F78" i="2"/>
  <c r="E78" i="2"/>
  <c r="F77" i="2"/>
  <c r="E77" i="2"/>
  <c r="B77" i="2"/>
  <c r="F76" i="2"/>
  <c r="E76" i="2"/>
  <c r="F75" i="2"/>
  <c r="E75" i="2"/>
  <c r="F74" i="2"/>
  <c r="E74" i="2"/>
  <c r="F73" i="2"/>
  <c r="E73" i="2"/>
  <c r="B73" i="2"/>
  <c r="F72" i="2"/>
  <c r="E72" i="2"/>
  <c r="F71" i="2"/>
  <c r="E71" i="2"/>
  <c r="F70" i="2"/>
  <c r="E70" i="2"/>
  <c r="F69" i="2"/>
  <c r="E69" i="2"/>
  <c r="B69" i="2"/>
  <c r="F68" i="2"/>
  <c r="E68" i="2"/>
  <c r="F67" i="2"/>
  <c r="E67" i="2"/>
  <c r="F66" i="2"/>
  <c r="E66" i="2"/>
  <c r="F65" i="2"/>
  <c r="E65" i="2"/>
  <c r="B65" i="2"/>
  <c r="F64" i="2"/>
  <c r="F63" i="2"/>
  <c r="E63" i="2"/>
  <c r="F62" i="2"/>
  <c r="E62" i="2"/>
  <c r="F61" i="2"/>
  <c r="E61" i="2"/>
  <c r="F60" i="2"/>
  <c r="E60" i="2"/>
  <c r="B60" i="2"/>
  <c r="F59" i="2"/>
  <c r="E59" i="2"/>
  <c r="F58" i="2"/>
  <c r="E58" i="2"/>
  <c r="F57" i="2"/>
  <c r="E57" i="2"/>
  <c r="F56" i="2"/>
  <c r="E56" i="2"/>
  <c r="B56" i="2"/>
  <c r="F55" i="2"/>
  <c r="E55" i="2"/>
  <c r="F54" i="2"/>
  <c r="E54" i="2"/>
  <c r="F53" i="2"/>
  <c r="E53" i="2"/>
  <c r="F52" i="2"/>
  <c r="E52" i="2"/>
  <c r="B52" i="2"/>
  <c r="F50" i="2"/>
  <c r="E50" i="2"/>
  <c r="F49" i="2"/>
  <c r="E49" i="2"/>
  <c r="F48" i="2"/>
  <c r="E48" i="2"/>
  <c r="F47" i="2"/>
  <c r="E47" i="2"/>
  <c r="B47" i="2"/>
  <c r="F45" i="2"/>
  <c r="E45" i="2"/>
  <c r="B45" i="2"/>
  <c r="F44" i="2"/>
  <c r="E44" i="2"/>
  <c r="B44" i="2"/>
  <c r="F43" i="2"/>
  <c r="E43" i="2"/>
  <c r="B43" i="2"/>
  <c r="F42" i="2"/>
  <c r="E42" i="2"/>
  <c r="B42" i="2"/>
  <c r="F41" i="2"/>
  <c r="E41" i="2"/>
  <c r="B41" i="2"/>
  <c r="F40" i="2"/>
  <c r="E40" i="2"/>
  <c r="B40" i="2"/>
  <c r="F39" i="2"/>
  <c r="E39" i="2"/>
  <c r="B39" i="2"/>
  <c r="F38" i="2"/>
  <c r="E38" i="2"/>
  <c r="B38" i="2"/>
  <c r="F37" i="2"/>
  <c r="E37" i="2"/>
  <c r="B37" i="2"/>
  <c r="F36" i="2"/>
  <c r="E36" i="2"/>
  <c r="B36" i="2"/>
  <c r="F35" i="2"/>
  <c r="E35" i="2"/>
  <c r="B35" i="2"/>
  <c r="F34" i="2"/>
  <c r="E34" i="2"/>
  <c r="B34" i="2"/>
  <c r="F33" i="2"/>
  <c r="E33" i="2"/>
  <c r="F32" i="2"/>
  <c r="E32" i="2"/>
  <c r="F31" i="2"/>
  <c r="E31" i="2"/>
  <c r="B31" i="2"/>
  <c r="F30" i="2"/>
  <c r="E30" i="2"/>
  <c r="F29" i="2"/>
  <c r="E29" i="2"/>
  <c r="F28" i="2"/>
  <c r="E28" i="2"/>
  <c r="B28" i="2"/>
  <c r="F27" i="2"/>
  <c r="E27" i="2"/>
  <c r="B27" i="2"/>
  <c r="F26" i="2"/>
  <c r="E26" i="2"/>
  <c r="F25" i="2"/>
  <c r="E25" i="2"/>
  <c r="B25" i="2"/>
  <c r="F24" i="2"/>
  <c r="E24" i="2"/>
  <c r="F23" i="2"/>
  <c r="E23" i="2"/>
  <c r="B23" i="2"/>
  <c r="F22" i="2"/>
  <c r="E22" i="2"/>
  <c r="F21" i="2"/>
  <c r="E21" i="2"/>
  <c r="B21" i="2"/>
  <c r="F20" i="2"/>
  <c r="E20" i="2"/>
  <c r="F19" i="2"/>
  <c r="E19" i="2"/>
  <c r="B19" i="2"/>
  <c r="F18" i="2"/>
  <c r="E18" i="2"/>
  <c r="B18" i="2"/>
  <c r="F17" i="2"/>
  <c r="E17" i="2"/>
  <c r="B17" i="2"/>
  <c r="F16" i="2"/>
  <c r="E16" i="2"/>
  <c r="B16" i="2"/>
  <c r="F15" i="2"/>
  <c r="E15" i="2"/>
  <c r="F14" i="2"/>
  <c r="E14" i="2"/>
  <c r="B14" i="2"/>
  <c r="F13" i="2"/>
  <c r="E13" i="2"/>
  <c r="F11" i="2"/>
  <c r="E11" i="2"/>
  <c r="F10" i="2"/>
  <c r="E10" i="2"/>
  <c r="F9" i="2"/>
  <c r="E9" i="2"/>
  <c r="F8" i="2"/>
  <c r="E8" i="2"/>
  <c r="F7" i="2"/>
  <c r="E7" i="2"/>
  <c r="F6" i="2"/>
</calcChain>
</file>

<file path=xl/sharedStrings.xml><?xml version="1.0" encoding="utf-8"?>
<sst xmlns="http://schemas.openxmlformats.org/spreadsheetml/2006/main" count="8766" uniqueCount="4361">
  <si>
    <t xml:space="preserve">ID DESA   </t>
  </si>
  <si>
    <t>KUESIONER PENGUKURAN DATA INDEKS DESA MEMBANGUN TAHUN 2023</t>
  </si>
  <si>
    <t>KEMENTERIAN DESA, PEMBANGUNAN DAERAH TERTINGGAL DAN TRANSMIGRASI</t>
  </si>
  <si>
    <t>LEMBAR PERSETUJUAN</t>
  </si>
  <si>
    <t>Selamat pagi / siang / sore. Saat ini kami dari Kementerian Desa, Pembangunan Daerah Tertinggal dan Transmigrasi sedang mengumpulkan data tentang kondisi sosial, ekonomi dan lingkungan di Desa BIRA Kecamatan BONTO BAHARI Kabupaten BULUKUMBA Informasi yang Bapak/Ibu berikan akan bermanfaat bagi peningkatan kualitas pembangunan dan pemberdayaan masyarakat Desa dan akan membantu pemerintah dalam merencanakan pembangunan dan pemberdayaan masyarakat di Desa yang lebih baik.</t>
  </si>
  <si>
    <t>Kami sangat mengharapkan partisipasi Bapak/Ibu dalam pengumpulan data ini. Jawaban yang lengkap dan jujur akan sangat membantu.
Informasi yang Bapak/Ibu berikan kami rahasiakan.</t>
  </si>
  <si>
    <r>
      <t xml:space="preserve">Mohon Bapak/Ibu </t>
    </r>
    <r>
      <rPr>
        <b/>
        <u/>
        <sz val="9"/>
        <color rgb="FF000000"/>
        <rFont val="Tahoma"/>
      </rPr>
      <t>menandatangani pernyataan</t>
    </r>
    <r>
      <rPr>
        <sz val="9"/>
        <color rgb="FF000000"/>
        <rFont val="Tahoma"/>
      </rPr>
      <t xml:space="preserve"> di bawah ini serta </t>
    </r>
    <r>
      <rPr>
        <b/>
        <u/>
        <sz val="9"/>
        <color rgb="FF000000"/>
        <rFont val="Tahoma"/>
      </rPr>
      <t>dibubuhkan cap Desa.</t>
    </r>
  </si>
  <si>
    <t>SEBELUM MENGISI KUESIONER INI, HARAP MEMBACA PANDUAN PENGISIAN KUESIONER TERLEBIH DAHULU SECARA SEKSAMA.</t>
  </si>
  <si>
    <t>Dengan ini saya bersedia mengikuti Pengukuran Informasi ini dan bersedia</t>
  </si>
  <si>
    <t>menjawab/mengisi lembar kuesioner yang telah disediakan dibawah ini.</t>
  </si>
  <si>
    <t>Kepala Desa,</t>
  </si>
  <si>
    <t>(................................)</t>
  </si>
  <si>
    <t>Demikian kami sampaikan.  Atas bantuan dan kerjasama Bapak/Ibu, saya ucapkan terima kasih.</t>
  </si>
  <si>
    <t>IP. Identitas Petugas</t>
  </si>
  <si>
    <t>IP1</t>
  </si>
  <si>
    <t>Nama Petugas</t>
  </si>
  <si>
    <t>SRI WAHYUNI</t>
  </si>
  <si>
    <t>IP2</t>
  </si>
  <si>
    <t>Tanggal Isi Kuesioner</t>
  </si>
  <si>
    <t>2024-04-01</t>
  </si>
  <si>
    <t>IP3</t>
  </si>
  <si>
    <t>Telp/HP Petugas</t>
  </si>
  <si>
    <t>Tanda Tangan Petugas</t>
  </si>
  <si>
    <t>FORMULIR ISIAN PENGUKURAN STATUS DESA BERDASARKAN INDEKS DESA MEMBANGUN TAHUN 2024</t>
  </si>
  <si>
    <t>PERTANYAAN KUISIONER IDM 2024</t>
  </si>
  <si>
    <t>OUTPUT</t>
  </si>
  <si>
    <t>SATUAN/ KET</t>
  </si>
  <si>
    <t>INPUT</t>
  </si>
  <si>
    <t>SKOR</t>
  </si>
  <si>
    <t>Batas isian</t>
  </si>
  <si>
    <t>Seleksi Dropdown</t>
  </si>
  <si>
    <t>IP. IDENTITAS PETUGAS</t>
  </si>
  <si>
    <t>Petugas</t>
  </si>
  <si>
    <t>Isian</t>
  </si>
  <si>
    <t>tgl_kuesioner</t>
  </si>
  <si>
    <t>Tanggal</t>
  </si>
  <si>
    <t>04/01/2024</t>
  </si>
  <si>
    <t>telp_petugas</t>
  </si>
  <si>
    <t>angka</t>
  </si>
  <si>
    <t>IP4</t>
  </si>
  <si>
    <t>ID Petugas (nomor KTP)</t>
  </si>
  <si>
    <t>NIK</t>
  </si>
  <si>
    <t>IP5</t>
  </si>
  <si>
    <t>Jabatan (PD/PLD/Perangkat Desa)</t>
  </si>
  <si>
    <t>JABATAN_Petugas</t>
  </si>
  <si>
    <t>Pilihan</t>
  </si>
  <si>
    <t>Lainnya</t>
  </si>
  <si>
    <t>-</t>
  </si>
  <si>
    <t>IP6</t>
  </si>
  <si>
    <r>
      <rPr>
        <b/>
        <sz val="8"/>
        <color rgb="FF000000"/>
        <rFont val="Tahoma"/>
      </rPr>
      <t xml:space="preserve">Jika, </t>
    </r>
    <r>
      <rPr>
        <sz val="8"/>
        <color rgb="FF000000"/>
        <rFont val="Tahoma"/>
      </rPr>
      <t xml:space="preserve">Jabatan Petugas Merupakan </t>
    </r>
    <r>
      <rPr>
        <b/>
        <sz val="8"/>
        <color rgb="FF000000"/>
        <rFont val="Tahoma"/>
      </rPr>
      <t>Perangkat Desa</t>
    </r>
  </si>
  <si>
    <t>JABATAN_Petugas_Perangkat_Desa</t>
  </si>
  <si>
    <t>Sekretaris</t>
  </si>
  <si>
    <t>I. IDENTITAS DESA</t>
  </si>
  <si>
    <t>Kepala Urusan</t>
  </si>
  <si>
    <t>Nama Informan</t>
  </si>
  <si>
    <t>Informan</t>
  </si>
  <si>
    <t>ANDI ADHRYANA AMRAL</t>
  </si>
  <si>
    <t>Kepala Seksi</t>
  </si>
  <si>
    <t>a. Jabatan Informan</t>
  </si>
  <si>
    <t>Jab_Informan</t>
  </si>
  <si>
    <t>KASI Pemerintahan</t>
  </si>
  <si>
    <t>Kepala Dusun/ Kepala Pelaksana Kewilayahan</t>
  </si>
  <si>
    <r>
      <t xml:space="preserve">b. </t>
    </r>
    <r>
      <rPr>
        <b/>
        <sz val="8"/>
        <color rgb="FF000000"/>
        <rFont val="Tahoma"/>
      </rPr>
      <t>Jika,</t>
    </r>
    <r>
      <rPr>
        <sz val="8"/>
        <color rgb="FF000000"/>
        <rFont val="Tahoma"/>
      </rPr>
      <t xml:space="preserve"> Jabatan Informan </t>
    </r>
    <r>
      <rPr>
        <b/>
        <sz val="8"/>
        <color rgb="FF000000"/>
        <rFont val="Tahoma"/>
      </rPr>
      <t xml:space="preserve">Lainnya </t>
    </r>
    <r>
      <rPr>
        <sz val="8"/>
        <color rgb="FF000000"/>
        <rFont val="Tahoma"/>
      </rPr>
      <t>(Sebutkan)</t>
    </r>
  </si>
  <si>
    <t>Jab_Informan_Lainnya</t>
  </si>
  <si>
    <t>Tidak Ada</t>
  </si>
  <si>
    <t>Nomor Telepon Genggam/ Hp Informan</t>
  </si>
  <si>
    <t>Tel_Informan</t>
  </si>
  <si>
    <t>Tanggal Lahir Informan</t>
  </si>
  <si>
    <t>TL_Informan</t>
  </si>
  <si>
    <t>07/22/1986</t>
  </si>
  <si>
    <t>Jenis Kelamin Informan</t>
  </si>
  <si>
    <t>JK_Informan</t>
  </si>
  <si>
    <t>a. Kode Provinsi</t>
  </si>
  <si>
    <t>ID_Prov</t>
  </si>
  <si>
    <t>b. Nama Provinsi</t>
  </si>
  <si>
    <t>Prov</t>
  </si>
  <si>
    <t>SULAWESI SELATAN</t>
  </si>
  <si>
    <t>a. Kode Kabupaten</t>
  </si>
  <si>
    <t>ID_Kab</t>
  </si>
  <si>
    <t>b. Nama Kabupaten/Kota</t>
  </si>
  <si>
    <t>Kab</t>
  </si>
  <si>
    <t>BULUKUMBA</t>
  </si>
  <si>
    <t>a. Kode Kecamatan</t>
  </si>
  <si>
    <t>ID_Kec</t>
  </si>
  <si>
    <t>b. Nama Kecamatan</t>
  </si>
  <si>
    <t>Kec</t>
  </si>
  <si>
    <t>BONTO BAHARI</t>
  </si>
  <si>
    <t>a. Kode Desa</t>
  </si>
  <si>
    <t>ID_Desa</t>
  </si>
  <si>
    <t>b. Nama Desa</t>
  </si>
  <si>
    <t>Desa</t>
  </si>
  <si>
    <t>BIRA</t>
  </si>
  <si>
    <t>Titik Koordinat Desa Sesuai Koordinat pada Aplikasi Timestamp</t>
  </si>
  <si>
    <t>Tiitk_Koordinat</t>
  </si>
  <si>
    <t>Koordinat/ Isian</t>
  </si>
  <si>
    <t>-5.582767LS,120.455679BT</t>
  </si>
  <si>
    <t>a. Alamat Lengkap Kantor Desa</t>
  </si>
  <si>
    <t>Alamat</t>
  </si>
  <si>
    <t>Jl. Raya Tanjung Bira No. 56 Telepon  04132512213 Kode Pos  92571 Dusun Pungkarese Sul-Sel</t>
  </si>
  <si>
    <t>b. Terdapat Kantor Desa</t>
  </si>
  <si>
    <t>Gedung Kantor Desa</t>
  </si>
  <si>
    <t>c. Batas desa dalam bentuk peta yang telah ditetapkan oleh Bupati/Walikota</t>
  </si>
  <si>
    <t>Peta_Desa</t>
  </si>
  <si>
    <t>a. Nama Lengkap Plt/ Kepala Desa Beserta Gelar</t>
  </si>
  <si>
    <t>Plt/Kades</t>
  </si>
  <si>
    <t>MURLAWA, SE</t>
  </si>
  <si>
    <t>b. Status Jabatan Kepala Desa</t>
  </si>
  <si>
    <t>Status_Kades</t>
  </si>
  <si>
    <t>Definitif</t>
  </si>
  <si>
    <t>c. Jenis Kelamin Plt/ Kepala Desa</t>
  </si>
  <si>
    <t>JK_Plt/Kades</t>
  </si>
  <si>
    <t>No. Telepon Rumah / Hp Plt/Kepala Desa</t>
  </si>
  <si>
    <t>Tel_Plt/Kades</t>
  </si>
  <si>
    <t>No. Telepon Kantor Desa</t>
  </si>
  <si>
    <t>Tel_Kantor</t>
  </si>
  <si>
    <t>04132512213</t>
  </si>
  <si>
    <t>Alamat Email Desa</t>
  </si>
  <si>
    <t>Email_Desa</t>
  </si>
  <si>
    <t>desabirabulukumba@gmail.com</t>
  </si>
  <si>
    <t>Akun Facebook Desa</t>
  </si>
  <si>
    <t>Fb_Desa</t>
  </si>
  <si>
    <t>Pemdes Bira</t>
  </si>
  <si>
    <t>Akun Instagram Desa</t>
  </si>
  <si>
    <t>Ig_Desa</t>
  </si>
  <si>
    <t>bira_berdaya</t>
  </si>
  <si>
    <t>Akun Twitter Desa</t>
  </si>
  <si>
    <t>Twitter_Desa</t>
  </si>
  <si>
    <t>BiraBerdaya</t>
  </si>
  <si>
    <t>Alamat Web Desa</t>
  </si>
  <si>
    <t>Alamat_Web_Desa</t>
  </si>
  <si>
    <t>https://www.desabira.com</t>
  </si>
  <si>
    <t>Pendidikan Terakhir Plt/ Kepala Desa</t>
  </si>
  <si>
    <t>Pend_Plt/Kades</t>
  </si>
  <si>
    <t>Lama Masa Jabatan sebagai Plt/ Kepala Desa</t>
  </si>
  <si>
    <t>Lama_Masa_Plt/Kades</t>
  </si>
  <si>
    <t>Tahun dan Bulan</t>
  </si>
  <si>
    <t>4 Tahun 0 Bulan</t>
  </si>
  <si>
    <t>Periode jabatan kades saat ini</t>
  </si>
  <si>
    <t>Periode_Jabatan_Kades</t>
  </si>
  <si>
    <t>Periode ke-1</t>
  </si>
  <si>
    <t>Pendidikan Terakhir Plt/ Sekretaris Desa</t>
  </si>
  <si>
    <t>Pend_Plt/Sekdes</t>
  </si>
  <si>
    <t>Lama Masa Jabatan sebagai Plt/ Sekretaris Desa</t>
  </si>
  <si>
    <t>Lama_Masa_Plt/Sekdes</t>
  </si>
  <si>
    <t>1 Tahun 0 Bulan</t>
  </si>
  <si>
    <t>PERANGKAT DESA</t>
  </si>
  <si>
    <t>a. Terdapat Sekretaris Desa</t>
  </si>
  <si>
    <t>Terdapat_Sekretaris_Desa</t>
  </si>
  <si>
    <t>Ada</t>
  </si>
  <si>
    <t>b. Nama Sekretaris Desa</t>
  </si>
  <si>
    <t>Nama_Sekretaris_Desa</t>
  </si>
  <si>
    <t>Masnadi</t>
  </si>
  <si>
    <t>c. Nomor HP Aktif Sekretaris Desa</t>
  </si>
  <si>
    <t>Nomor_HP_Aktif_Sekretaris_Desa</t>
  </si>
  <si>
    <t>d. Jenis Kelamin</t>
  </si>
  <si>
    <t>Jenis_Kelamin</t>
  </si>
  <si>
    <t>Laki-Laki</t>
  </si>
  <si>
    <t>KEPALA SEKSI</t>
  </si>
  <si>
    <t>a. Terdapat Kepala seksi Pemerintahan</t>
  </si>
  <si>
    <t>Terdapat_Kepala_seksi_Pemerintahan</t>
  </si>
  <si>
    <t>b. Nama Kepala Seksi Pemerintahan</t>
  </si>
  <si>
    <t>Nama_Kepala_Seksi_Pemerintahan</t>
  </si>
  <si>
    <t>Andi Adhryana Amral</t>
  </si>
  <si>
    <t>c. Nomor HP Aktif Kepala Seksi Pemerintahan</t>
  </si>
  <si>
    <t>Nomor_HP_Aktif_Kepala_Seksi_Pemerintahan</t>
  </si>
  <si>
    <t>Perempuan</t>
  </si>
  <si>
    <t>a. Terdapat Kepala seksi kesejahteraan</t>
  </si>
  <si>
    <t>Terdapat_Kepala_seksi_kesejahteraan</t>
  </si>
  <si>
    <t>b. Nama Seksi Kesejahteraan</t>
  </si>
  <si>
    <t>Nama_Seksi_Kesejahteraan</t>
  </si>
  <si>
    <t>Muhadi</t>
  </si>
  <si>
    <t>c. Nomor HP Aktif Seksi Kesejahteraan</t>
  </si>
  <si>
    <t>Nomor_HP_Aktif_Seksi_Kesejahteraan</t>
  </si>
  <si>
    <t>a. Terdapat Kepala seksi pelayanan</t>
  </si>
  <si>
    <t>Terdapat_Kepala_seksi_pelayanan</t>
  </si>
  <si>
    <t>b. Nama Kepala Seksi Pelayanan</t>
  </si>
  <si>
    <t>Nama_Kepala_Seksi_Pelayanan</t>
  </si>
  <si>
    <t>Syahruddin</t>
  </si>
  <si>
    <t>c. Nomor HP Aktif Kepala Seksi pelayanan</t>
  </si>
  <si>
    <t>Nomor_HP_Aktif_Kepala_Seksi_pelayanan</t>
  </si>
  <si>
    <t>KEPALA URUSAN</t>
  </si>
  <si>
    <t>a. Terdapat Kepala Urusan Tata Usaha dan Umum</t>
  </si>
  <si>
    <t>Terdapat_Kepala_Urusan_Tata_Usaha_dan_Umum</t>
  </si>
  <si>
    <t>b. Nama Kepala Urusan Tata Usaha dan Umum</t>
  </si>
  <si>
    <t>Nama_Kepala_Urusan_Tata_Usaha_dan_Umum</t>
  </si>
  <si>
    <t>Nisma Te'ne</t>
  </si>
  <si>
    <t>c. Nomor HP Aktif Kepala Urusan Tata Usaha dan Umum</t>
  </si>
  <si>
    <t>Nomor_HP_Aktif_Kepala_Urusan_Tata_Usaha_dan_Umum</t>
  </si>
  <si>
    <t>a. Terdapat Kepala Urusan Keuangan</t>
  </si>
  <si>
    <t>Terdapat_Kepala_Urusan_Keuangan</t>
  </si>
  <si>
    <t>b. Nama Kepala Urusan Keuangan</t>
  </si>
  <si>
    <t>Nama_Kepala_Urusan_Keuangan</t>
  </si>
  <si>
    <t>Andi Alwarida</t>
  </si>
  <si>
    <t>c. Nomor HP Aktif Kepala Urusan Keuangan</t>
  </si>
  <si>
    <t>Nomor_HP_Aktif_Kepala_Urusan_Keuangan</t>
  </si>
  <si>
    <t>a. Kepala Urusan Perencanaan</t>
  </si>
  <si>
    <t>Kepala_Urusan_Perencanaan</t>
  </si>
  <si>
    <t>b. nama Kepala  Urusan Perencanaan</t>
  </si>
  <si>
    <t>nama_Kepala__Urusan_Perencanaan</t>
  </si>
  <si>
    <t>Laura Listiani</t>
  </si>
  <si>
    <t>c. Nomor HP Aktif  Kepala Urusan Perencanaan</t>
  </si>
  <si>
    <t>Nomor_HP_Aktif__Kepala_Urusan_Perencanaan</t>
  </si>
  <si>
    <t>a. Staf petugas Desa</t>
  </si>
  <si>
    <t>Stafdes_Lk</t>
  </si>
  <si>
    <t>Orang</t>
  </si>
  <si>
    <t>template</t>
  </si>
  <si>
    <t>Stafdes_Pr</t>
  </si>
  <si>
    <t>b. BPD dan Anggota</t>
  </si>
  <si>
    <t>BPD_Ang_Lk</t>
  </si>
  <si>
    <t>BPD_Ang_Pr</t>
  </si>
  <si>
    <t>c. LPM dan Anggota</t>
  </si>
  <si>
    <t>LPM_Ang_Lk</t>
  </si>
  <si>
    <t>LPM_Ang_Pr</t>
  </si>
  <si>
    <t>d. TP. PKK Desa</t>
  </si>
  <si>
    <t>TPPKK_Lk</t>
  </si>
  <si>
    <t>TPPKK_Pr</t>
  </si>
  <si>
    <t>e. Kepala Dusun</t>
  </si>
  <si>
    <t>Kadus_Lk</t>
  </si>
  <si>
    <t>Kadus_Pr</t>
  </si>
  <si>
    <t>f. Ketua RW</t>
  </si>
  <si>
    <t>KaRW_Lk</t>
  </si>
  <si>
    <t>KaRW_Pr</t>
  </si>
  <si>
    <t>g. Ketua RT</t>
  </si>
  <si>
    <t>KaRT_Lk</t>
  </si>
  <si>
    <t>KaRT_Pr</t>
  </si>
  <si>
    <t>II. DATA GEOGRAFI, TOPOGRAFI, DAN DEMOGRAFI</t>
  </si>
  <si>
    <t>DATA GEOGRAFI</t>
  </si>
  <si>
    <t>LUAS WILAYAH</t>
  </si>
  <si>
    <t>Total Luas Wilayah Desa</t>
  </si>
  <si>
    <t>LWil_Desa</t>
  </si>
  <si>
    <t>Ha</t>
  </si>
  <si>
    <t>MAX 25RB</t>
  </si>
  <si>
    <t>DATA TOPOGRAFI</t>
  </si>
  <si>
    <t>Jenis Topografi Desa</t>
  </si>
  <si>
    <t>JenisWil_Desa</t>
  </si>
  <si>
    <t>Desa Model</t>
  </si>
  <si>
    <t>a. Desa Bersih Narkoba (Bersinar)</t>
  </si>
  <si>
    <t>Desa_Bersinar</t>
  </si>
  <si>
    <t>Tidak</t>
  </si>
  <si>
    <t>b. Desa Ramah Perempuan dan Peduli Anak</t>
  </si>
  <si>
    <t>Desa_Ramah_Perempuan_dan_Peduli_Anak</t>
  </si>
  <si>
    <t>c. Kampung KB</t>
  </si>
  <si>
    <t>Kampung_KB</t>
  </si>
  <si>
    <t>Pemerintah</t>
  </si>
  <si>
    <t>d. Desa Inklusif dan Sistem Akuntabilitas Sosial (lokasi desa percontohan P3PD)</t>
  </si>
  <si>
    <t>Desa_Inklusif_dan_Sistem_Akuntabilitas_Sosial_(lokasi_desa_percontohan_P3PD)</t>
  </si>
  <si>
    <t>Swasta</t>
  </si>
  <si>
    <t>e. Desa Cerdas</t>
  </si>
  <si>
    <t>Desa_Cerdas</t>
  </si>
  <si>
    <t>Ya</t>
  </si>
  <si>
    <t>BUMN</t>
  </si>
  <si>
    <t>f. Desa Peduli Kesehatan</t>
  </si>
  <si>
    <t>Desa_Peduli_Kesehatan</t>
  </si>
  <si>
    <t>BUMD</t>
  </si>
  <si>
    <t>g. Desa Peduli Keluarga</t>
  </si>
  <si>
    <t>Desa_Peduli_Keluarga</t>
  </si>
  <si>
    <t>BUM Des</t>
  </si>
  <si>
    <t>h. Desa Peduli Perlindungan Sosial</t>
  </si>
  <si>
    <t>Desa_Peduli_Perlindungan_Sosial</t>
  </si>
  <si>
    <t>BUM Des Bersama</t>
  </si>
  <si>
    <t>i. Desa Damai Berkeadilan</t>
  </si>
  <si>
    <t>Desa_Damai_Berkeadilan</t>
  </si>
  <si>
    <t>Kelompok</t>
  </si>
  <si>
    <t>j. Desa Peduli Pendidikan</t>
  </si>
  <si>
    <t>Desa_Peduli_Pendidikan</t>
  </si>
  <si>
    <t>Pribadi</t>
  </si>
  <si>
    <t>k. Desa Tanggap Budaya</t>
  </si>
  <si>
    <t>Desa_Tanggap_Budaya</t>
  </si>
  <si>
    <t>l. Desa Inklusi</t>
  </si>
  <si>
    <t>Desa_Inklusi</t>
  </si>
  <si>
    <t>m. Desa Anti Korupsi</t>
  </si>
  <si>
    <t>Desa_Anti_Korupsi</t>
  </si>
  <si>
    <t>n. Desa Sadar Hukum</t>
  </si>
  <si>
    <t>Desa_Sadar_Hukum</t>
  </si>
  <si>
    <t>o. Desa Konstitusi</t>
  </si>
  <si>
    <t>Desa_Konstitusi</t>
  </si>
  <si>
    <t>p. Desa Model Lainnya (Sebutkan)</t>
  </si>
  <si>
    <t>Desa_Model_Lainnya_(Sebutkan)</t>
  </si>
  <si>
    <t>Tidak ada</t>
  </si>
  <si>
    <t>JENIS POTENSI WILAYAH DESA</t>
  </si>
  <si>
    <t>Swasta (CSR)</t>
  </si>
  <si>
    <t>Potensi Wisata Desa</t>
  </si>
  <si>
    <t>Akademisi</t>
  </si>
  <si>
    <t>Wisata Alam</t>
  </si>
  <si>
    <t>a. Terdapat Wisata Pantai</t>
  </si>
  <si>
    <t>Terdapat_Wisata_Pantai</t>
  </si>
  <si>
    <t>b. Aktivitas Wisata Pantai (Sebutkan)</t>
  </si>
  <si>
    <t>Aktivitas_Wisata_Pantai_(Sebutkan)</t>
  </si>
  <si>
    <t>PIKNIK, BERENANG, BERJEMUR</t>
  </si>
  <si>
    <t>c. Pihak Pengelola Wisata Pantai</t>
  </si>
  <si>
    <t>Pihak_Pengelola_Wisata_Pantai</t>
  </si>
  <si>
    <t>204.a</t>
  </si>
  <si>
    <t>d. sebutkan pengelola Wisata Pantai</t>
  </si>
  <si>
    <t>sebutkan_pengelola_Wisata_Pantai</t>
  </si>
  <si>
    <t>DINAS PARAWISATA</t>
  </si>
  <si>
    <t>e. Pihak yang melakukan pendampingan tempat wisata Pantai</t>
  </si>
  <si>
    <t>Pihak_yang_melakukan_pendampingan_tempat_wisata_Pantai</t>
  </si>
  <si>
    <t>f. Pihak lainnya yang melakukan pendampingan tempat wisata Pantai (sebutkan)</t>
  </si>
  <si>
    <t>Pihak_lainnya_yang_melakukan_pendampingan_tempat_wisata_Pantai_(sebutkan)</t>
  </si>
  <si>
    <t>PEMERINTAH</t>
  </si>
  <si>
    <t>g. Jumlah Tenaga Kerja Masyarakat Desa Setempat bekerja di Tempat  Wisata Pantai</t>
  </si>
  <si>
    <t>Jumlah_Tenaga_Kerja_Masyarakat_Desa_Setempat_bekerja_di_Tempat__Wisata_Pantai</t>
  </si>
  <si>
    <t>Max 10rb</t>
  </si>
  <si>
    <t>a. Terdapat Wisata Pegunungan</t>
  </si>
  <si>
    <t>Terdapat_Wisata_Pegunungan</t>
  </si>
  <si>
    <t>b. Aktivitas Wisata Pegunungan (Sebutkan)</t>
  </si>
  <si>
    <t>Aktivitas_Wisata_Pegunungan_(Sebutkan)</t>
  </si>
  <si>
    <t>TIDAK ADA</t>
  </si>
  <si>
    <t>c. Pengelola Wisata Pengunungan</t>
  </si>
  <si>
    <t>Pengelola_Wisata_Pengunungan</t>
  </si>
  <si>
    <t>205.a</t>
  </si>
  <si>
    <t>d. sebutkan pengelola Wisata Pegunungan</t>
  </si>
  <si>
    <t>sebutkan_pengelola_Wisata_Pegunungan</t>
  </si>
  <si>
    <t>e. Pihak yang melakukan pendampingan tempat wisata Pegunungan</t>
  </si>
  <si>
    <t>Pihak_yang_melakukan_pendampingan_tempat_wisata_Pegunungan</t>
  </si>
  <si>
    <t>f. Pihak lainnya  yang melakukan pendampingan tempat wisata Pegunungan (Sebutkan)</t>
  </si>
  <si>
    <t>Pihak_lainnya__yang_melakukan_pendampingan_tempat_wisata_Pegunungan_(Sebutkan)</t>
  </si>
  <si>
    <t>g. Jumlah Tenaga Kerja Masyarakat Desa Setempat bekerja di tempat wisata pegunungan</t>
  </si>
  <si>
    <t>Jumlah_Tenaga_Kerja_Masyarakat_Desa_Setempat_bekerja_di_tempat_wisata_pegunungan</t>
  </si>
  <si>
    <t>a. Terdapat Wisata Laut/ Danau</t>
  </si>
  <si>
    <t>Terdapat_Laut/_Danau</t>
  </si>
  <si>
    <t>b. Aktivitas Wisata Laut/ Danau (Sebutkan)</t>
  </si>
  <si>
    <t>Aktivitas_Wisata_Laut/_Danau_(Sebutkan)</t>
  </si>
  <si>
    <t>MENYELAM, SNORKLING DAN MEMANCING</t>
  </si>
  <si>
    <t>c. Pengelola Wisata Laut/ Danau</t>
  </si>
  <si>
    <t>Pengelola_Wisata_Laut/_Danau</t>
  </si>
  <si>
    <t>206.a</t>
  </si>
  <si>
    <t>d. Sebutkan pengelola Wisata Laut/ Danau</t>
  </si>
  <si>
    <t>Sebutkan_pengelola_Wisata_Laut/_Pegunungan</t>
  </si>
  <si>
    <t>MASYARAKAT SETEMPAT</t>
  </si>
  <si>
    <t>e. Pihak yang melakukan pendampingan tempat wisata Laut/ Danau</t>
  </si>
  <si>
    <t>Pihak_yang_melakukan_pendampingan_tempat_wisata_Laut/_Danau</t>
  </si>
  <si>
    <t>f. Pihak lainnya yang melakukan pendampingan tempat wisata Laut/ Danau (Sebutkan)</t>
  </si>
  <si>
    <t>Pihak_lainnya_yang_melakukan_pendampingan_tempat_wisata_Laut/_Danau_(Sebutkan)</t>
  </si>
  <si>
    <t>MASYARAKAT</t>
  </si>
  <si>
    <t>g. Jumlah Tenaga Kerja Masyarakat Desa Setempat bekerja di tempat wisata Laut/ Danau</t>
  </si>
  <si>
    <t>Jumlah_Tenaga_Kerja_Masyarakat_Desa_Setempat_bekerja_di_tempat_wisata_Laut/_Danau</t>
  </si>
  <si>
    <t>a. Terdapat Wisata Hutan</t>
  </si>
  <si>
    <t>Terdapat_Wisata_Hutan</t>
  </si>
  <si>
    <t>b. Aktivitas Wisata Hutan (Sebutkan)</t>
  </si>
  <si>
    <t>Aktivitas_Wisata_Hutan_(Sebutkan)</t>
  </si>
  <si>
    <t>c. Pengelola Wisata Hutan</t>
  </si>
  <si>
    <t>Pengelola_Wisata_Hutan</t>
  </si>
  <si>
    <t>207.a</t>
  </si>
  <si>
    <t>d. Sebutkan pengelola Wisata Hutan</t>
  </si>
  <si>
    <t>Sebutkan_pengelola_Wisata_Hutan</t>
  </si>
  <si>
    <t>e. Pihak yang melakukan pendampingan tempat wisata Hutan</t>
  </si>
  <si>
    <t>Pihak_yang_melakukan_pendampingan_tempat_wisata_Hutan</t>
  </si>
  <si>
    <t>f. Pihak lainnya yang melakukan pendampingan tempat wisata Hutan (Sebutkan)</t>
  </si>
  <si>
    <t>Pihak_lainnya_yang_melakukan_pendampingan_tempat_wisata_Hutan_(Sebutkan)</t>
  </si>
  <si>
    <t>g. Jumlah Tenaga Kerja Masyarakat Desa Setempat bekerja di tempat Wisata Hutan</t>
  </si>
  <si>
    <t>Jumlah_Tenaga_Kerja_Masyarakat_Desa_Setempat_bekerja_di_tempat_Wisata_Hutan</t>
  </si>
  <si>
    <t>a. Terdapat Wisata Sungai</t>
  </si>
  <si>
    <t>Terdapat_Wisata_Sungai</t>
  </si>
  <si>
    <t>b. Aktivitas Wisata Sungai (Sebutkan)</t>
  </si>
  <si>
    <t>Aktivitas_Wisata_Sungai_(Sebutkan)</t>
  </si>
  <si>
    <t>c. Pengelola Wisata Sungai</t>
  </si>
  <si>
    <t>Pengelola_Wisata_Sungai</t>
  </si>
  <si>
    <t>208.a</t>
  </si>
  <si>
    <t>d. sebutkan pengelola wisata Sungai</t>
  </si>
  <si>
    <t>sebutkan_pengelola_wisata_Sungai</t>
  </si>
  <si>
    <t>e. Pihak yang melakukan pendampingan tempat wisata Sungai</t>
  </si>
  <si>
    <t>Pihak_yang_melakukan_pendampingan_tempat_wisata_Sungai</t>
  </si>
  <si>
    <t>f. Pihak lainnya yang melakukan pendampingan tempat wisata Sungai (Sebutkan)</t>
  </si>
  <si>
    <t>Pihak_lainnya_yang_melakukan_pendampingan_tempat_wisata_Sungai_(Sebutkan)</t>
  </si>
  <si>
    <t>g. Jumlah Tenaga Kerja Masyarakat Desa Setempat bekerja di tempat Wisata Sungai</t>
  </si>
  <si>
    <t>Jumlah_Tenaga_Kerja_Masyarakat_Desa_Setempat_bekerja_di_tempat_Wisata_Sungai</t>
  </si>
  <si>
    <t>a. Terdapat Wisata Air Terjun</t>
  </si>
  <si>
    <t>Terdapat_Wisata_Air_Terjun</t>
  </si>
  <si>
    <t>b. Aktivitas Wisata Air Terjun (Sebutkan)</t>
  </si>
  <si>
    <t>Aktivitas_Wisata_Air_Terjun_(Sebutkan)</t>
  </si>
  <si>
    <t>c. Pengelola Wisata Air Terjun</t>
  </si>
  <si>
    <t>Pengelola_Wisata_Air_Terjun</t>
  </si>
  <si>
    <t>209.a</t>
  </si>
  <si>
    <t>d. Sebutkan pengelola wisata Air Terjun</t>
  </si>
  <si>
    <t>Sebutkan_pengelola_wisata_Air_Terjun</t>
  </si>
  <si>
    <t>e. Pihak yang melakukan pendampingan tempat wisata Air Terjun</t>
  </si>
  <si>
    <t>Pihak_yang_melakukan_pendampingan_tempat_wisata_Air_Terjun</t>
  </si>
  <si>
    <t>f. Pihak lainnya yang melakukan pendampingan tempat wisata Air Terjun (Sebutkan)</t>
  </si>
  <si>
    <t>Pihak_lainnya_yang_melakukan_pendampingan_tempat_wisata_Air_Terjun_(Sebutkan)</t>
  </si>
  <si>
    <t>g. Jumlah Tenaga Kerja Masyarakat Desa Setempat bekerja di tempat Wisata Air Terjun</t>
  </si>
  <si>
    <t>Jumlah_Tenaga_Kerja_Masyarakat_Desa_Setempat_bekerja_di_tempat_Wisata_Air_Terjun</t>
  </si>
  <si>
    <t>a. Terdapat Wisata Pemandian Sumber Air Panas</t>
  </si>
  <si>
    <t>Terdapat_Wisata_Pemandian_Sumber_Air_Panas</t>
  </si>
  <si>
    <t>b. Aktivitas Wisata Pemandian Sumber Air Panas (Sebutkan)</t>
  </si>
  <si>
    <t>Aktivitas_Wisata_Pemandian_Sumber_Air_Panas_(Sebutkan)</t>
  </si>
  <si>
    <t>c. Pengelola Wisata Pemandian Sumber Air Panas</t>
  </si>
  <si>
    <t>Pengelola_Wisata_Pemandian_Sumber_Air_Panas</t>
  </si>
  <si>
    <t>210.a</t>
  </si>
  <si>
    <t>d. sebutkan pengelola Wisata Sumber Air Panas</t>
  </si>
  <si>
    <t>sebutkan_pengelola_Wisata_Sumber_Air_Panas</t>
  </si>
  <si>
    <t>e. Pihak yang melakukan pendampingan tempat wisata Pemandian Sumber Air Panas</t>
  </si>
  <si>
    <t>Pihak_yang_melakukan_pendampingan_tempat_wisata_Pemandian_Sumber_Air_Panas</t>
  </si>
  <si>
    <t>f. Pihak lainnya yang melakukan pendampingan tempat wisata pemandian Sumber Air Panas (Sebutkan)</t>
  </si>
  <si>
    <t>Pihak_lainnya_yang_melakukan_pendampingan_tempat_wisata_pemandian_Sumber_Air_Panas_(Sebutkan)</t>
  </si>
  <si>
    <t>g. Jumlah Tenaga Kerja Masyarakat Desa Setempat bekerja di tempat Pemandian Sumber Air Panas</t>
  </si>
  <si>
    <t>Jumlah_Tenaga_Kerja_Masyarakat_Desa_Setempat_bekerja_di_tempat_Pemandian_Sumber_Air_Panas</t>
  </si>
  <si>
    <t>a. Terdapat Wisata Alam Lainnya</t>
  </si>
  <si>
    <t>Terdapat_Wisata_Alam_Lainnya</t>
  </si>
  <si>
    <t>b. Nama Wisata Alam Lainnya (Sebutkan)</t>
  </si>
  <si>
    <t>Wisata_Alam_Lainnya</t>
  </si>
  <si>
    <t>PUNCAK</t>
  </si>
  <si>
    <t>c. Aktivitas Wisata Alam Lainya (Sebutkan)</t>
  </si>
  <si>
    <t>Aktivitas_Wisata_Alam_Lainya_(Sebutkan)</t>
  </si>
  <si>
    <t>TEMPAT BERFOTO</t>
  </si>
  <si>
    <t>d. Pengelola Wisata Alam Lainnya</t>
  </si>
  <si>
    <t>Pengelola_Wisata_Alam_Lainnya</t>
  </si>
  <si>
    <t>211.a</t>
  </si>
  <si>
    <t>e. sebutkan pengelola Wisata Alam Lainnya</t>
  </si>
  <si>
    <t>sebutkan_pengelola_Wisata_Alam_Lainnya</t>
  </si>
  <si>
    <t>f. Pihak yang melakukan pendampingan tempat wisata Lainnya</t>
  </si>
  <si>
    <t>Pihak_yang_melakukan_pendampingan_tempat_wisata_Lainnya</t>
  </si>
  <si>
    <t>g. Pihak Lainnya yang melakukan pendampingan tempat wisata Lainnya (Sebutkan)</t>
  </si>
  <si>
    <t>Pihak_Lainnya_yang_melakukan_pendampingan_tempat_wisata_Lainnya_(Sebutkan)</t>
  </si>
  <si>
    <t xml:space="preserve">h. Jumlah Tenaga Kerja Masyarakat Desa Setempat bekerja di </t>
  </si>
  <si>
    <t>Jumlah_Tenaga_Kerja_Masyarakat_Desa_Setempat_bekerja_di_</t>
  </si>
  <si>
    <t>Wisata Buatan</t>
  </si>
  <si>
    <t>a. Terdapat Wisata Embung</t>
  </si>
  <si>
    <t>Terdapat_Wisata_Embung</t>
  </si>
  <si>
    <t>b. Aktivitas Wisata Embung (Sebutkan)</t>
  </si>
  <si>
    <t>Aktivitas_Wisata_Embung_(Sebutkan)</t>
  </si>
  <si>
    <t>c. Pengelola Wisata Embung</t>
  </si>
  <si>
    <t>Pengelola_Wisata_Embung</t>
  </si>
  <si>
    <t>212.a</t>
  </si>
  <si>
    <t>d. sebutkan pengelola wisata Embung</t>
  </si>
  <si>
    <t>sebutkan_pengelola_wisata_Embung</t>
  </si>
  <si>
    <t>e. Pihak yang melakukan pendampingan tempat wisata Embung</t>
  </si>
  <si>
    <t>Pihak_yang_melakukan_pendampingan_tempat_wisata_Embung</t>
  </si>
  <si>
    <t>f. Pihak lainnya yang melakukan pendampingan tempat wisata Embung (Sebutkan)</t>
  </si>
  <si>
    <t>Pihak_lainnya_yang_melakukan_pendampingan_tempat_wisata_Embung_(Sebutkan)</t>
  </si>
  <si>
    <t>g. Jumlah Tenaga Kerja Masyarakat Desa Setempat bekerja di tempat wisata Embung</t>
  </si>
  <si>
    <t>Jumlah_Tenaga_Kerja_Masyarakat_Desa_Setempat_bekerja_di_tempat_wisata_Embung</t>
  </si>
  <si>
    <t>a. Terdapat Wisata Kolam Pemandian Umum</t>
  </si>
  <si>
    <t>Terdapat_Wisata_Kolam_Pemandian_Umum</t>
  </si>
  <si>
    <t>b. Aktivitas Wisata kolam pemandian umum (Sebutkan)</t>
  </si>
  <si>
    <t>Aktivitas_Wisata_kolam_pemandian_umum_(Sebutkan)</t>
  </si>
  <si>
    <t>c. Pengelola wisata kolam pemandian umum</t>
  </si>
  <si>
    <t>Pengelola_wisata_kolam_pemandian_umum</t>
  </si>
  <si>
    <t>213.a</t>
  </si>
  <si>
    <t>d. sebutkan pengelola wisata kolam pemandian umum</t>
  </si>
  <si>
    <t>sebutkan_pengelola_wisata_kolam_pemandian_umum</t>
  </si>
  <si>
    <t>e. Pihak yang melakukan pendampingan tempat wisata</t>
  </si>
  <si>
    <t>Pihak_yang_melakukan_pendampingan_tempat_wisata</t>
  </si>
  <si>
    <t>f. Pihak lainnya yang melakukan pendampingan wisata kolam pemandian umum</t>
  </si>
  <si>
    <t>Pihak_lainnya_yang_melakukan_pendampingan_wisata_kolam_pemandian_umum</t>
  </si>
  <si>
    <t>g. Jumlah Tenaga Kerja Masyarakat Desa Setempat bekerja di tempat wisata kolam pemandian umum</t>
  </si>
  <si>
    <t>Jumlah_Tenaga_Kerja_Masyarakat_Desa_Setempat_bekerja_di_tempat_wisata_kolam_pemandian_umum</t>
  </si>
  <si>
    <t>a. Terdapat Wisata Taman</t>
  </si>
  <si>
    <t>Terdapat_Wisata_Taman</t>
  </si>
  <si>
    <t>b. Aktivitas Wisata Taman (Sebutkan)</t>
  </si>
  <si>
    <t>Aktivitas_Wisata_Taman_(Sebutkan)</t>
  </si>
  <si>
    <t>c. Pengelola wisata Taman</t>
  </si>
  <si>
    <t>Pengelola_wisata_Taman</t>
  </si>
  <si>
    <t>214.a</t>
  </si>
  <si>
    <t>d. sebutkan pengelola Wisata Taman</t>
  </si>
  <si>
    <t>sebutkan_pengelola_Wisata_Taman</t>
  </si>
  <si>
    <t>e. Pihak yang melakukan pendampingan tempat wisata Taman</t>
  </si>
  <si>
    <t>Pihak_yang_melakukan_pendampingan_tempat_wisata_Taman</t>
  </si>
  <si>
    <t>f. Pihak lainnya yang melakukan pendampingan tempat wisata taman</t>
  </si>
  <si>
    <t>Pihak_lainnya_yang_melakukan_pendampingan_tempat_wisata_taman</t>
  </si>
  <si>
    <t>g. Jumlah Tenaga Kerja Masyarakat Desa Setempat bekerja di tempat wisata Taman</t>
  </si>
  <si>
    <t>Jumlah_Tenaga_Kerja_Masyarakat_Desa_Setempat_bekerja_di_tempat_wisata_Taman</t>
  </si>
  <si>
    <t>a. Terdapat Wisata Buatan Lainnya</t>
  </si>
  <si>
    <t>Terdapat_Wisata_Buatan_Lainnya</t>
  </si>
  <si>
    <t>b. Nama Wisata Buatan Lainnya (Sebutkan)</t>
  </si>
  <si>
    <t>Wisata_Buatan_Lainnya</t>
  </si>
  <si>
    <t>Titik Nol</t>
  </si>
  <si>
    <t>c. Aktivitas Wisata Buatan Lainnya (Sebutkan)</t>
  </si>
  <si>
    <t>Aktivitas_Wisata_Buatan_Lainnya_(Sebutkan)</t>
  </si>
  <si>
    <t>Tempat Berfoto</t>
  </si>
  <si>
    <t>d. Pengelola Wisata Buatan Lainnya</t>
  </si>
  <si>
    <t>Pengelola_Wisata_Buatan_Lainnya</t>
  </si>
  <si>
    <t>215.a</t>
  </si>
  <si>
    <t>e. sebutkan pengelola Wisata Buatan Lainnya</t>
  </si>
  <si>
    <t>sebutkan_pengelola_Wisata_Buatan_Lainnya</t>
  </si>
  <si>
    <t>PEMERINTAH DESA</t>
  </si>
  <si>
    <t>f. Pihak yang melakukan pendampingan tempat wisata Buatan Lainnya</t>
  </si>
  <si>
    <t>Pihak_yang_melakukan_pendampingan_tempat_wisata_Buatan_Lainnya</t>
  </si>
  <si>
    <t>g. Pihak lainnya yang melakukan pendampingan tempat wisata Buatan Lainnya</t>
  </si>
  <si>
    <t>Pihak_lainnya_yang_melakukan_pendampingan_tempat_wisata_Buatan_Lainnya</t>
  </si>
  <si>
    <t>h. Jumlah Tenaga Kerja Masyarakat Desa Setempat bekerja di tempat wisata buatan lainnya</t>
  </si>
  <si>
    <t>Jumlah_Tenaga_Kerja_Masyarakat_Desa_Setempat_bekerja_di_tempat_wisata_buatan_lainnya</t>
  </si>
  <si>
    <t>Wisata Budaya</t>
  </si>
  <si>
    <t>a. Terdapat Wisata Budaya Desa Wisata</t>
  </si>
  <si>
    <t>Terdapat_Wisata_Budaya_Desa_Wisata</t>
  </si>
  <si>
    <t>b. Aktivitas Wisata Budaya Desa Wisata (Sebutkan)</t>
  </si>
  <si>
    <t>Aktivitas_Wisata_Budaya_Desa_Wisata_(Sebutkan)</t>
  </si>
  <si>
    <t>c. Pengelola Desa Wisata Budaya</t>
  </si>
  <si>
    <t>Pengelola_Desa_Wisata</t>
  </si>
  <si>
    <t>216.a</t>
  </si>
  <si>
    <t>d .Sebutkan pengelola Desa Wisata Budaya</t>
  </si>
  <si>
    <t>d_.Sebutkan_pengelola_Desa_Wisata</t>
  </si>
  <si>
    <t>e. Pihak yang melakukan pendampingan tempat Desa Wisata Budaya</t>
  </si>
  <si>
    <t>Pihak_yang_melakukan_pendampingan_tempat_Desa_Wisata</t>
  </si>
  <si>
    <t>f. Pihak lainnya yang melakukan pendampingan Desa Wisata Budaya</t>
  </si>
  <si>
    <t>Pihak_lainnya_yang_melakukan_pendampingan_Desa_Wisata</t>
  </si>
  <si>
    <t>g. Jumlah Tenaga Kerja Masyarakat Desa Setempat bekerja di Desa Wisata Budaya</t>
  </si>
  <si>
    <t>Jumlah_Tenaga_Kerja_Masyarakat_Desa_Setempat_bekerja_di_Desa_Wisata</t>
  </si>
  <si>
    <t>217.a</t>
  </si>
  <si>
    <t>a. Terdapat Wisata Sejarah dan Religi</t>
  </si>
  <si>
    <t>Terdapat_Wisata_Sejarah_dan_Religi</t>
  </si>
  <si>
    <t>b. Aktivitas Wisata Sejarah dan Religi (Sebutkan)</t>
  </si>
  <si>
    <t>Aktivitas_Wisata_Sejarah_dan_Religi_(Sebutkan)</t>
  </si>
  <si>
    <t>ZIARAH</t>
  </si>
  <si>
    <t>c. Pengelola Wisata Sejarah dan Religi</t>
  </si>
  <si>
    <t>Pengelola_Wisata_Sejarah_dan_Religi</t>
  </si>
  <si>
    <t>d. sebutkan pengelola Wisata Sejarah dan Religi</t>
  </si>
  <si>
    <t>sebutkan_pengelola_Wisata_Sejarah_dan_Religi</t>
  </si>
  <si>
    <t>Dinas Parawisata</t>
  </si>
  <si>
    <t>e. Pihak yang melakukan pendampingan tempat wisata Sejarah dan Religi</t>
  </si>
  <si>
    <t>Pihak_yang_melakukan_pendampingan_tempat_wisata_Sejarah_dan_Religi</t>
  </si>
  <si>
    <t>f. Pihak lainnya yang melakukan pendampingan tempat wisata Sejarah dan Religi</t>
  </si>
  <si>
    <t>Pihak_lainnya_yang_melakukan_pendampingan_tempat_wisata_Sejarah_dan_Religi</t>
  </si>
  <si>
    <t>g. Jumlah Tenaga Kerja Masyarakat Desa Setempat bekerja di tempat Wisata Sejarah dan Religi</t>
  </si>
  <si>
    <t>Jumlah_Tenaga_Kerja_Masyarakat_Desa_Setempat_bekerja_di_tempat_Wisata_Sejarah_dan_Religi</t>
  </si>
  <si>
    <t>218.a</t>
  </si>
  <si>
    <t>a. Terdapat Wisata Kuliner</t>
  </si>
  <si>
    <t>Terdapat_Wisata_Kuliner</t>
  </si>
  <si>
    <t>b. Aktivitas Wisata Kuliner (Sebutkan)</t>
  </si>
  <si>
    <t>Aktivitas_Wisata_Kuliner_(Sebutkan)</t>
  </si>
  <si>
    <t>c. Pengelola Wisata Kuliner</t>
  </si>
  <si>
    <t>Pengelola_Wisata_Kuliner</t>
  </si>
  <si>
    <t>d. sebutkan pengelola Wisata Kuliner</t>
  </si>
  <si>
    <t>sebutkan_pengelola_Wisata_Kuliner</t>
  </si>
  <si>
    <t>e. Pihak yang melakukan pendampingan tempat wisata Kuliner</t>
  </si>
  <si>
    <t>Pihak_yang_melakukan_pendampingan_tempat_wisata_Kuliner</t>
  </si>
  <si>
    <t>f. Pihak lainnya yang melakukan pendampingan tempat wisata Kuliner</t>
  </si>
  <si>
    <t>Pihak_lainnya_yang_melakukan_pendampingan_tempat_wisata_Kuliner</t>
  </si>
  <si>
    <t>g. Jumlah Tenaga Kerja Masyarakat Desa Setempat bekerja di tempat Wisata Kuliner</t>
  </si>
  <si>
    <t>Jumlah_Tenaga_Kerja_Masyarakat_Desa_Setempat_bekerja_di_tempat_Wisata_Kuliner</t>
  </si>
  <si>
    <t>219.a</t>
  </si>
  <si>
    <t>a. Terdapat Wisata Seni dan Tradisi</t>
  </si>
  <si>
    <t>Terdapat_Wisata_Seni_dan_Tradisi</t>
  </si>
  <si>
    <t>b. Aktivitas Wisata Seni dan Tradisi (Sebutkan)</t>
  </si>
  <si>
    <t>Aktivitas_Wisata_Seni_dan_Tradisi_(Sebutkan)</t>
  </si>
  <si>
    <t>c. Pengelola Wisata Seni dan Tradisi</t>
  </si>
  <si>
    <t>Pengelola_Wisata_Seni_dan_Tradisi</t>
  </si>
  <si>
    <t>d. sebutkan pengelola Wisata Seni dan Tradisi</t>
  </si>
  <si>
    <t>sebutkan_pengelola_Wisata_Seni_dan_Tradisi</t>
  </si>
  <si>
    <t>e. Pihak yang melakukan pendampingan tempat wisata Seni dan Religi</t>
  </si>
  <si>
    <t>Pihak_yang_melakukan_pendampingan_tempat_wisata_Seni_dan_Religi</t>
  </si>
  <si>
    <t>f. Pihak lainnya yang melakukan pendampingan tempat wisata Seni dan Religi</t>
  </si>
  <si>
    <t>Pihak_lainnya_yang_melakukan_pendampingan_tempat_wisata_Seni_dan_Religi</t>
  </si>
  <si>
    <t>g. Jumlah Tenaga Kerja Masyarakat Desa Setempat bekerja di tempat Wisata Seni dan Religi</t>
  </si>
  <si>
    <t>Jumlah_Tenaga_Kerja_Masyarakat_Desa_Setempat_bekerja_di_tempat_Wisata_Seni_dan_Religi</t>
  </si>
  <si>
    <t>220.a</t>
  </si>
  <si>
    <t>a. Terdapat Wisata Budaya Lainnya</t>
  </si>
  <si>
    <t>Terdapat_Wisata_Budaya_Lainnya</t>
  </si>
  <si>
    <t>b. Nama Wisata Budaya Lainnya</t>
  </si>
  <si>
    <t>Nama_Wisata_Budaya_Lainnya</t>
  </si>
  <si>
    <t>c. Aktivitas Wisata Budaya Lainnya (Sebutkan)</t>
  </si>
  <si>
    <t>Aktivitas_Wisata_Budaya_Lainnya_(Sebutkan)</t>
  </si>
  <si>
    <t>d. Pengelola Wisata Budaya Lainnya</t>
  </si>
  <si>
    <t>Pengelola_Wisata_Budaya_Lainnya</t>
  </si>
  <si>
    <t>e. sebutkan pengelola Wisata Budaya Lainnya</t>
  </si>
  <si>
    <t>sebutkan_pengelola_Wisata_Budaya_Lainnya</t>
  </si>
  <si>
    <t>f. Pihak yang melakukan pendampingan tempat wisata Budaya Lainnya</t>
  </si>
  <si>
    <t>Pihak_yang_melakukan_pendampingan_tempat_wisata_Budaya_Lainnya</t>
  </si>
  <si>
    <t>g. Pihak lainnya yang melakukan pendampingan tempat wisata Budaya Lainnya</t>
  </si>
  <si>
    <t>Pihak_lainnya_yang_melakukan_pendampingan_tempat_wisata_Budaya_Lainnya</t>
  </si>
  <si>
    <t>h. Jumlah Tenaga Kerja Masyarakat Desa Setempat bekerja di tempat wisata Budaya Lainnya</t>
  </si>
  <si>
    <t>Jumlah_Tenaga_Kerja_Masyarakat_Desa_Setempat_bekerja_di_tempat_wisata_Budaya_Lainnya</t>
  </si>
  <si>
    <t>Kawasan Hutan</t>
  </si>
  <si>
    <t>Terdapat Kawasan Hutan</t>
  </si>
  <si>
    <t>Kawasan_Hutan</t>
  </si>
  <si>
    <t xml:space="preserve">Jenis Status Hutan </t>
  </si>
  <si>
    <t>a. Terdapat Hutan Negara</t>
  </si>
  <si>
    <t>Hutan_Negara</t>
  </si>
  <si>
    <t>Plihan</t>
  </si>
  <si>
    <t>b. Total Luas Hutan Negara</t>
  </si>
  <si>
    <t>Total_Luas_Hutan_Negara</t>
  </si>
  <si>
    <t>max 25rb</t>
  </si>
  <si>
    <t>c1. Hutan Negara Penguasaan/Dikelola Oleh Perhutani</t>
  </si>
  <si>
    <t>Hutan_Negara_Penguasaan/Dikelola_Oleh_Perhutani</t>
  </si>
  <si>
    <t>c2. Luas Hutan Negara yang dikelola Perhutani</t>
  </si>
  <si>
    <t>Luas_Hutan_Negara_yang_dikelola_Perhutani</t>
  </si>
  <si>
    <t>d1. Hutan Negara Penguasaan/Pengelolaan Oleh Inhutani</t>
  </si>
  <si>
    <t>Hutan_Negara_Penguasaan/Pengelolaan_Oleh_Inhutani</t>
  </si>
  <si>
    <t>d2. Luas Hutan Negara yang dikelola Inhutani</t>
  </si>
  <si>
    <t>Luas_Hutan_Negara_yang_dikelola_Inhutani</t>
  </si>
  <si>
    <t>e1. Hutan Negara Penguasaan/Pengelolaan Oleh IUPHAK/Swasta</t>
  </si>
  <si>
    <t>Hutan_Negara_Penguasaan/Pengelolaan_Oleh_IUPHAK/Swasta</t>
  </si>
  <si>
    <t>e2. Luas Hutan Negara yang dikelola IUPHAK/Swasta</t>
  </si>
  <si>
    <t>Luas_Hutan_Negara_yang_dikelola_IUPHAK/Swasta</t>
  </si>
  <si>
    <t>25rb</t>
  </si>
  <si>
    <t>e3. Jika Ada Pengelola Swasta, Sebutkan</t>
  </si>
  <si>
    <t>Jika_Ada_Pengelola_Swasta,_Sebutkan</t>
  </si>
  <si>
    <t>f1. Hutan Negara Penguasaan/Pengelolaan Oleh BKSDA</t>
  </si>
  <si>
    <t>Hutan_Negara_Penguasaan/Pengelolaan_Oleh_BKSDA</t>
  </si>
  <si>
    <t>f2. Luas Hutan Negara yang dikelola BKSDA</t>
  </si>
  <si>
    <t>Luas_Hutan_Negara_yang_dikelola_BKSDA</t>
  </si>
  <si>
    <t>g1. Hutan Negara Penguasaan/Pengelolaan Oleh Tahura</t>
  </si>
  <si>
    <t>Hutan_Negara_Penguasaan/Pengelolaan_Oleh_Tahura</t>
  </si>
  <si>
    <t>g2. Luas Hutan Negara yang dikelola Tahura</t>
  </si>
  <si>
    <t>Luas_Hutan_Negara_yang_dikelola_Tahura</t>
  </si>
  <si>
    <t>h1.Hutan Negara Penguasaan/Pengelolaan Oleh Taman Nasional</t>
  </si>
  <si>
    <t>h1.Hutan_Negara_Penguasaan/Pengelolaan_Oleh_Taman_Nasional</t>
  </si>
  <si>
    <t>h2. Luas Hutan Negara yang dikelola Taman Nasional</t>
  </si>
  <si>
    <t>h2._Luas_Hutan_Negara_yang_dikelola_Taman_Nasional</t>
  </si>
  <si>
    <t>a. Terdapat Hutan Rakyat</t>
  </si>
  <si>
    <t>Terdapat_Hutan_Rakyat</t>
  </si>
  <si>
    <t>b. Total Luas Hutan Rakyat</t>
  </si>
  <si>
    <t>Total_Luas_Hutan_Rakyat</t>
  </si>
  <si>
    <t>c. Stakeholder Hutan Rakyat (Penguasaan/pengelolaan), Sebutkan</t>
  </si>
  <si>
    <t>Stakeholder_Hutan_Rakyat_(Penguasaan/pengelolaan),_Sebutkan</t>
  </si>
  <si>
    <t>Dinas Lingkungan Hidup dan Kehutanan Kabupaten Bulukumba</t>
  </si>
  <si>
    <t>Kawasan Tambang</t>
  </si>
  <si>
    <t>Terdapat Kawasan Tambang di Desa</t>
  </si>
  <si>
    <t>Terdapat_Kawasan_Tambang_di_Desa</t>
  </si>
  <si>
    <t>Jenis Tambang berdasarkan Manfaat/Kegunaan</t>
  </si>
  <si>
    <t>Perorangan</t>
  </si>
  <si>
    <t>Jenis Tambang GOLONGAN  A</t>
  </si>
  <si>
    <t>a. Terdapat Tambang Minyak Bumi</t>
  </si>
  <si>
    <t>Terdapat_Tambang_Minyak_Bumi</t>
  </si>
  <si>
    <t>b. Luas Area Tambang Minyak Bumi</t>
  </si>
  <si>
    <t>Luas_Area_Tambang_Minyak_Bumi</t>
  </si>
  <si>
    <t>225.a</t>
  </si>
  <si>
    <t>c. Jumlah Tenaga Kerja di Pertambangan Minyak Bumi</t>
  </si>
  <si>
    <t>Jlh_Naker_Tambang_</t>
  </si>
  <si>
    <t>Max Total Penduduk</t>
  </si>
  <si>
    <t>d. Jumlah Tenaga Kerja Masyarakat Desa Setempat bekerja di Pertambangan Minyak Bumi</t>
  </si>
  <si>
    <t>Jlh_Naker_Desa_Tambang_</t>
  </si>
  <si>
    <t>e. Status Penguasaan/Pengelolaan Tambang Minyak Bumi</t>
  </si>
  <si>
    <t>Status_Penguasaan/Pengelolaan_Tambang_Minyak_Bumi</t>
  </si>
  <si>
    <t>f. Sebutkan Penguasa/Pengelola Tambang Minyak Bumi</t>
  </si>
  <si>
    <t>Sebutkan_Penguasa/Pengelola_Tambang_Minyak_Bumi</t>
  </si>
  <si>
    <t>a. Terdapat Tambang Gas Alam</t>
  </si>
  <si>
    <t>Terdapat_Tambang_Gas_Alam</t>
  </si>
  <si>
    <t>b. Luas Area Tambang Gas Alam</t>
  </si>
  <si>
    <t>Luas_Area_Tambang_Gas_Alam</t>
  </si>
  <si>
    <t>226.a</t>
  </si>
  <si>
    <t>c. Jumlah Tenaga Kerja di Pertambangan Gas Alam</t>
  </si>
  <si>
    <t>d. Jumlah Tenaga Kerja Masyarakat Desa Setempat bekerja di Pertambangan Gas Alam</t>
  </si>
  <si>
    <t>e. Status Penguasaan/Pengelolaan Tambang Gas Alam</t>
  </si>
  <si>
    <t>Status_Penguasaan/Pengelolaan_Tambang_Gas_Alam</t>
  </si>
  <si>
    <t>f. Sebutkan Penguasa/Pengelola Tambang Gas Alam</t>
  </si>
  <si>
    <t>Sebutkan_Penguasa/Pengelola_Tambang_Gas_Alam</t>
  </si>
  <si>
    <t>a. Terdapat Tambang Aspal</t>
  </si>
  <si>
    <t>Terdapat_Tambang_Aspal</t>
  </si>
  <si>
    <t>b. Luas Area Tambang Aspal</t>
  </si>
  <si>
    <t>Luas_Area_Tambang_Aspal</t>
  </si>
  <si>
    <t>227.a</t>
  </si>
  <si>
    <t>c. Jumlah Tenaga Kerja di Pertambangan Aspal</t>
  </si>
  <si>
    <t>d. Jumlah Tenaga Kerja Masyarakat Desa Setempat bekerja di Pertambangan Aspal</t>
  </si>
  <si>
    <t>e. Status Penguasaan/Pengelolaan Tambang Aspal</t>
  </si>
  <si>
    <t>Status_Penguasaan/Pengelolaan_Tambang_Aspal</t>
  </si>
  <si>
    <t>f. Sebutkan Penguasa/Pengelola Tambang Aspal</t>
  </si>
  <si>
    <t>Sebutkan_Penguasa/Pengelola_Tambang_Aspal</t>
  </si>
  <si>
    <t>a. Terdapat Tambang Batu Bara</t>
  </si>
  <si>
    <t>Terdapat_Tambang_Batu_Bara</t>
  </si>
  <si>
    <t>b. Luas Area Tambang Batu Bara</t>
  </si>
  <si>
    <t>Luas_Area_Tambang_Batu_Bara</t>
  </si>
  <si>
    <t>228.a</t>
  </si>
  <si>
    <t>c. Jumlah Tenaga Kerja di Pertambangan Batu Bara</t>
  </si>
  <si>
    <t>d. Jumlah Tenaga Kerja Masyarakat Desa Setempat bekerja di Pertambangan Batu Bara</t>
  </si>
  <si>
    <t>e. Status Penguasaan/Pengelolaan Tambang Batu Bara</t>
  </si>
  <si>
    <t>Status_Penguasaan/Pengelolaan_Tambang_Batu_Bara</t>
  </si>
  <si>
    <t>f. Sebutkan Penguasa/Pengelola Tambang Batu Bara</t>
  </si>
  <si>
    <t>a. Terdapat Tambang Nikel</t>
  </si>
  <si>
    <t>Terdapat_Tambang_Nikel</t>
  </si>
  <si>
    <t>b. Luas Area Tambang  Nikel</t>
  </si>
  <si>
    <t>Luas_Area_Tambang__Nikel</t>
  </si>
  <si>
    <t>229.a</t>
  </si>
  <si>
    <t>c. Jumlah Tenaga Kerja di Pertambangan Nikel</t>
  </si>
  <si>
    <t>d. Jumlah Tenaga Kerja Masyarakat Desa Setempat bekerja di Pertambangan Nikel</t>
  </si>
  <si>
    <t>e. Status Penguasaan/Pengelolaan Tambang Nikel</t>
  </si>
  <si>
    <t>Status_Penguasaan/Pengelolaan_Tambang_Nikel</t>
  </si>
  <si>
    <t>f. Sebutkan Penguasa/Pengelola Tambang Nikel</t>
  </si>
  <si>
    <t>Sebutkan_Penguasa/Pengelola_Tambang_Nikel</t>
  </si>
  <si>
    <t>a. Terdapat Tambang Golongan A Lainnya (sebutkan)</t>
  </si>
  <si>
    <t>Terdapat_Tambang_Golongan_A_Lainnya_(sebutkan)</t>
  </si>
  <si>
    <t>b. Jenis Tambang Golongan A Lainnya (Sebutkan)</t>
  </si>
  <si>
    <t>Jns_Tambang_Gol_A_Lainnya_(Sebutkan)</t>
  </si>
  <si>
    <t>c. Luas Area Tambang Golongan A Lainnya</t>
  </si>
  <si>
    <t>Luas_Area_Tambang_Golongan_A_Lainnya</t>
  </si>
  <si>
    <t>230.a</t>
  </si>
  <si>
    <t>d. Jumlah Tenaga Kerja di Pertambangan Lainnya</t>
  </si>
  <si>
    <t>e. Jumlah Tenaga Kerja Masyarakat Desa Setempat bekerja di Pertambangan Lainnya</t>
  </si>
  <si>
    <t>f. Status Penguasaan/Pengelolaan Tambang Gol A Lainnya</t>
  </si>
  <si>
    <t>Status_Penguasaan/Pengelolaan_Tambang_Gol_A_Lainnya</t>
  </si>
  <si>
    <t>g. Sebutkan Penguasa/Pengelola Tambang Gol A Lainnya</t>
  </si>
  <si>
    <t>Sebutkan_Penguasa/Pengelola_Tambang_Gol_A_Lainnya</t>
  </si>
  <si>
    <t>Jenis Tambang GOLONGAN  B</t>
  </si>
  <si>
    <t>a. Terdapat Tambang Bauksit</t>
  </si>
  <si>
    <t>Terdapat_Tambang_Bauksit</t>
  </si>
  <si>
    <t>b. Luas Area Tambang Bauksit</t>
  </si>
  <si>
    <t>Luas_Area_Tambang_Bauksit</t>
  </si>
  <si>
    <t>231.a</t>
  </si>
  <si>
    <t>c. Jumlah Tenaga Kerja di Pertambangan Bauksit</t>
  </si>
  <si>
    <t>d. Jumlah Tenaga Kerja Masyarakat Desa Setempat bekerja di Pertambangan Bauksit</t>
  </si>
  <si>
    <t>e. Status Penguasaan/Pengelolaan Tambang Bauksit</t>
  </si>
  <si>
    <t>Status_Penguasaan/Pengelolaan_Tambang_Bauksit</t>
  </si>
  <si>
    <t>f. Sebutkan Penguasa/Pengelola Tambang Bauksit</t>
  </si>
  <si>
    <t>Sebutkan_Penguasa/Pengelola_Tambang_Bauksit</t>
  </si>
  <si>
    <t>a. Terdapat Tambang Tembaga</t>
  </si>
  <si>
    <t>Terdapat_Tambang_Tembaga</t>
  </si>
  <si>
    <t>b. Luas Area Tambang Tembaga</t>
  </si>
  <si>
    <t>Luas_Area_Tambang_Tembaga</t>
  </si>
  <si>
    <t>232.a</t>
  </si>
  <si>
    <t>c. Jumlah Tenaga Kerja di Pertambangan Tembaga</t>
  </si>
  <si>
    <t>d. Jumlah Tenaga Kerja Masyarakat Desa Setempat bekerja di Pertambangan Tembaga</t>
  </si>
  <si>
    <t>e. Status Penguasaan/Pengelolaan Tambang Tembaga</t>
  </si>
  <si>
    <t>Status_Penguasaan/Pengelolaan_Tambang_Tembaga</t>
  </si>
  <si>
    <t>f. Sebutkan Penguasa/Pengelola Tambang Tembaga</t>
  </si>
  <si>
    <t>Sebutkan_Penguasa/Pengelola_Tambang_Tembaga</t>
  </si>
  <si>
    <t>a. Terdapat Tambang Belerang</t>
  </si>
  <si>
    <t>Terdapat_Tambang_Belerang</t>
  </si>
  <si>
    <t>b. Luas Area Tambang Belerang</t>
  </si>
  <si>
    <t>Luas_Area_Tambang_Belerang</t>
  </si>
  <si>
    <t>233.a</t>
  </si>
  <si>
    <t>c. Jumlah Tenaga Kerja di Pertambangan Belerang</t>
  </si>
  <si>
    <t>d. Jumlah Tenaga Kerja Masyarakat Desa Setempat bekerja di Pertambangan Belerang</t>
  </si>
  <si>
    <t>e. Status Penguasaan/Pengelolaan Tambang Belerang</t>
  </si>
  <si>
    <t>Status_Penguasaan/Pengelolaan_Tambang_Belerang</t>
  </si>
  <si>
    <t>f. Sebutkan Penguasa/Pengelola Tambang Belerang</t>
  </si>
  <si>
    <t>Sebutkan_Penguasa/Pengelola_Tambang_Belerang</t>
  </si>
  <si>
    <t>a. Terdapat Tambang Emas</t>
  </si>
  <si>
    <t>Terdapat_Tambang_Emas</t>
  </si>
  <si>
    <t>b. Luas Area Tambang Emas</t>
  </si>
  <si>
    <t>Luas_Area_Tambang_Emas</t>
  </si>
  <si>
    <t>234.a</t>
  </si>
  <si>
    <t>c. Jumlah Tenaga Kerja di Pertambangan Emas</t>
  </si>
  <si>
    <t>d. Jumlah Tenaga Kerja Masyarakat Desa Setempat bekerja di Pertambangan Emas</t>
  </si>
  <si>
    <t>e. Status Penguasaan/Pengelolaan Tambang Emas</t>
  </si>
  <si>
    <t>Status_Penguasaan/Pengelolaan_Tambang_Emas</t>
  </si>
  <si>
    <t>f. Sebutkan Penguasa/Pengelola Tambang Emas</t>
  </si>
  <si>
    <t>Sebutkan_Penguasa/Pengelola_Tambang_Emas</t>
  </si>
  <si>
    <t>a. Terdapat Tambang Perak</t>
  </si>
  <si>
    <t>Terdapat_Tambang_Perak</t>
  </si>
  <si>
    <t>b. Luas Area Tambang Perak</t>
  </si>
  <si>
    <t>Luas_Area_Tambang_Perak</t>
  </si>
  <si>
    <t>235.a</t>
  </si>
  <si>
    <t>c. Jumlah Tenaga Kerja di Pertambangan Perak</t>
  </si>
  <si>
    <t>d. Jumlah Tenaga Kerja Masyarakat Desa Setempat bekerja di Pertambangan Perak</t>
  </si>
  <si>
    <t>e. Status Penguasaan/Pengelolaan Tambang Perak</t>
  </si>
  <si>
    <t>Status_Penguasaan/Pengelolaan_Tambang_Perak</t>
  </si>
  <si>
    <t>f. Sebutkan Penguasa/Pengelola Tambang Perak</t>
  </si>
  <si>
    <t>Sebutkan_Penguasa/Pengelola_Tambang_Perak</t>
  </si>
  <si>
    <t>a. Terdapat Tambang Lainnya Golongan B (sebutkan)</t>
  </si>
  <si>
    <t>Terdapat_Tambang_Lainnya_Golongan_B_(sebutkan)</t>
  </si>
  <si>
    <t>b. Jenis Tambang Golongan B Lainnya (Sebutkan)</t>
  </si>
  <si>
    <t>Jns_Tambang_Gol_B_Lainnya_(Sebutkan)</t>
  </si>
  <si>
    <t>c. Luas Area Tambang Gol B Tambang Lainnya</t>
  </si>
  <si>
    <t>Luas_Area_Tambang_Gol_B_Tambang_Lainnya</t>
  </si>
  <si>
    <t>236.a</t>
  </si>
  <si>
    <t>f. Status Penguasaan/Pengelolaan Tambang Gol B Lainnya</t>
  </si>
  <si>
    <t>Status_Penguasaan/Pengelolaan_Tambang_Gol_B_Lainnya</t>
  </si>
  <si>
    <t>g. Sebutkan Penguasa/Pengelola Tambang Gol B Lainnya</t>
  </si>
  <si>
    <t>Sebutkan_Penguasa/Pengelola_Tambang_Gol_B_Lainnya</t>
  </si>
  <si>
    <t>Jenis Tambang GOLONGAN  C</t>
  </si>
  <si>
    <t>a. Terdapat Tambang Batu Kapur</t>
  </si>
  <si>
    <t>Terdapat_Tambang_Batu_Kapur</t>
  </si>
  <si>
    <t>b. Luas Area Tambang Batu Kapur</t>
  </si>
  <si>
    <t>Luas_Area_Tambang_Batu_Kapur</t>
  </si>
  <si>
    <t>237.a</t>
  </si>
  <si>
    <t>c. Jumlah Tenaga Kerja di Pertambangan Batu Kapur</t>
  </si>
  <si>
    <t>d. Jumlah Tenaga Kerja Masyarakat Desa Setempat bekerja di Pertambangan Batu Kapur</t>
  </si>
  <si>
    <t>e. Status Penguasaan/Pengelolaan Tambang Batu Kapur</t>
  </si>
  <si>
    <t>Status_Penguasaan/Pengelolaan_Tambang_Batu_Kapur</t>
  </si>
  <si>
    <t>f. Sebutkan Penguasa/Pengelola Tambang Batu Kapur</t>
  </si>
  <si>
    <t>Sebutkan_Penguasa/Pengelola_Tambang_Batu_Kapur</t>
  </si>
  <si>
    <t>a. Terdapat Tambang Tanah Liat</t>
  </si>
  <si>
    <t>Terdapat_Tambang_Tanah_Liat</t>
  </si>
  <si>
    <t>b. Luas Area Tambang Tanah Liat</t>
  </si>
  <si>
    <t>Luas_Area_Tambang_Tanah_Liat</t>
  </si>
  <si>
    <t>238.a</t>
  </si>
  <si>
    <t>c. Jumlah Tenaga Kerja di Pertambangan Tanah Liat</t>
  </si>
  <si>
    <t>d. Jumlah Tenaga Kerja Masyarakat Desa Setempat bekerja di Pertambangan Tanah Liat</t>
  </si>
  <si>
    <t>e. Status Penguasaan/Pengelolaan Tambang Tanah Liat</t>
  </si>
  <si>
    <t>Status_Penguasaan/Pengelolaan_Tambang_Tanah_Liat</t>
  </si>
  <si>
    <t>f. Sebutkan Penguasa/Pengelola Tambang Tanah Liat</t>
  </si>
  <si>
    <t>Sebutkan_Penguasa/Pengelola_Tambang_Tanah_Liat</t>
  </si>
  <si>
    <t>a. Terdapat Tambang Pasir</t>
  </si>
  <si>
    <t>Terdapat_Tambang_Pasir</t>
  </si>
  <si>
    <t>b. Luas Area Tambang Pasir</t>
  </si>
  <si>
    <t>Luas_Area_Tambang_Pasir</t>
  </si>
  <si>
    <t>239.a</t>
  </si>
  <si>
    <t>c. Jumlah Tenaga Kerja di Pertambangan Pasir</t>
  </si>
  <si>
    <t>d. Jumlah Tenaga Kerja Masyarakat Desa Setempat bekerja di Pertambangan Pasir</t>
  </si>
  <si>
    <t>e. Status Penguasaan/Pengelolaan Tambang Pasir</t>
  </si>
  <si>
    <t>Status_Penguasaan/Pengelolaan_Tambang_Pasir</t>
  </si>
  <si>
    <t>f. Sebutkan Penguasa/Pengelola Tambang Pasir</t>
  </si>
  <si>
    <t>Sebutkan_Penguasa/Pengelola_Tambang_Pasir</t>
  </si>
  <si>
    <t>a. Terdapat Tambang Pasir Batu</t>
  </si>
  <si>
    <t>Terdapat_Tambang_Pasir_Batu</t>
  </si>
  <si>
    <t>b. Luas Area Tambang Pasir Batu</t>
  </si>
  <si>
    <t>Luas_Area_Tambang_Pasir_Batu</t>
  </si>
  <si>
    <t>240.a</t>
  </si>
  <si>
    <t>c. Jumlah Tenaga Kerja di Pertambangan Batu</t>
  </si>
  <si>
    <t>d. Jumlah Tenaga Kerja Masyarakat Desa Setempat bekerja di Pertambangan Batu</t>
  </si>
  <si>
    <t>e. Status Penguasaan/Pengelolaan Tambang Pasir Batu</t>
  </si>
  <si>
    <t>Status_Penguasaan/Pengelolaan_Tambang_Pasir_Batu</t>
  </si>
  <si>
    <t>f. Sebutkan Penguasa/Pengelola Tambang Pasir Batu</t>
  </si>
  <si>
    <t>Sebutkan_Penguasa/Pengelola_Tambang_Pasir_Batu</t>
  </si>
  <si>
    <t>a. Terdapat Tambang Batu Krikil</t>
  </si>
  <si>
    <t>Terdapat_Tambang_Batu_Krikil</t>
  </si>
  <si>
    <t>b. Luas Area Tambang Batu Kerikil</t>
  </si>
  <si>
    <t>Luas_Area_Tambang_Kerikil</t>
  </si>
  <si>
    <t>241.a</t>
  </si>
  <si>
    <t>c. Jumlah Tenaga Kerja di Pertambangan Batu Kerikil</t>
  </si>
  <si>
    <t>d. Jumlah Tenaga Kerja Masyarakat Desa Setempat bekerja di Pertambangan Batu Kerikil</t>
  </si>
  <si>
    <t>e. Status Penguasaan/Pengelolaan Tambang Kerikil</t>
  </si>
  <si>
    <t>Status_Penguasaan/Pengelolaan_Tambang_Kerikil</t>
  </si>
  <si>
    <t>f. Sebutkan Penguasa/Pengelola Tambang Kerikil</t>
  </si>
  <si>
    <t>Sebutkan_Penguasa/Pengelola_Tambang_Kerikil</t>
  </si>
  <si>
    <t>a. Terdapat Tambang Batu Kali</t>
  </si>
  <si>
    <t>Terdapat_Tambang_Batu_Kali</t>
  </si>
  <si>
    <t>b. Luas Area Tambang Batu Kali</t>
  </si>
  <si>
    <t>Luas_Area_Tambang_Batu_Kali</t>
  </si>
  <si>
    <t>242.a</t>
  </si>
  <si>
    <t>c. Jumlah Tenaga Kerja di Pertambangan Batu Kali</t>
  </si>
  <si>
    <t>d. Jumlah Tenaga Kerja Masyarakat Desa Setempat bekerja di Pertambangan Batu Kali</t>
  </si>
  <si>
    <t>e. Status Penguasaan/Pengelolaan Tambang Batu Kali</t>
  </si>
  <si>
    <t>Status_Penguasaan/Pengelolaan_Tambang_Batu_Kali</t>
  </si>
  <si>
    <t>f. Sebutkan Penguasa/Pengelola Tambang Batu Kali</t>
  </si>
  <si>
    <t>Sebutkan_Penguasa/Pengelola_Tambang_Batu_Kali</t>
  </si>
  <si>
    <t>a. Terdapat Tambang Tanah Uruk</t>
  </si>
  <si>
    <t>Terdapat_Tambang_Tanah_Uruk</t>
  </si>
  <si>
    <t>b. Luas Area Tambang Tanah Uruk</t>
  </si>
  <si>
    <t>Luas_Area_Tambang_Tanah_Uruk</t>
  </si>
  <si>
    <t>243.a</t>
  </si>
  <si>
    <t>c. Jumlah Tenaga Kerja di Pertambangan Tanah Uruk</t>
  </si>
  <si>
    <t>d. Jumlah Tenaga Kerja Masyarakat Desa Setempat bekerja di Pertambangan Tanah Uruk</t>
  </si>
  <si>
    <t>e. Status Penguasaan/Pengelolaan Tambang Tanah Uruk</t>
  </si>
  <si>
    <t>Status_Penguasaan/Pengelolaan_Tambang_Tanah_Uruk</t>
  </si>
  <si>
    <t>f. Sebutkan Penguasa/Pengelola Tambang Tanah Uruk</t>
  </si>
  <si>
    <t>Sebutkan_Penguasa/Pengelola_Tambang_Tanah_Uruk</t>
  </si>
  <si>
    <t>a. Terdapat Tambang Tambang Lainnya Gol C Lainnya</t>
  </si>
  <si>
    <t>Terdapat_Tambang_Tambang_Lainnya_Gol_C_Lainnya</t>
  </si>
  <si>
    <t>b. Jenis Tambang Golongan C Lainnya, Sebutkan</t>
  </si>
  <si>
    <t>Jns_Tambang_Gol_C_Lainnya_(Sebutkan)</t>
  </si>
  <si>
    <t>c. Luas Tambang Gol C Tambang Lainnya</t>
  </si>
  <si>
    <t>Luas_Tambang_Gol_C_Tambang_Lainnya</t>
  </si>
  <si>
    <t>244.a</t>
  </si>
  <si>
    <t>f. Status Penguasaan/Pengelolaan Tambang Gol C  Lainnya</t>
  </si>
  <si>
    <t>Status_Penguasaan/Pengelolaan_Tambang_Gol_C__Lainnya</t>
  </si>
  <si>
    <t>g. Sebutkan Penguasa/Pengelola Tambang Gol C Lainnya</t>
  </si>
  <si>
    <t>Sebutkan_Penguasa/Pengelola_Tambang_Gol_C_Lainnya</t>
  </si>
  <si>
    <t>Dampak Aktivitas Tambang</t>
  </si>
  <si>
    <t>a. Dampak Aktivitas Pertambangan Terhadap Desa di Bidang Ekonomi (Sebutkan)</t>
  </si>
  <si>
    <t>Dampak_Tambang_Ekonomi</t>
  </si>
  <si>
    <t>b. Dampak Aktivitas Pertambangan Terhadap Desa di Bidang Lingkungan (Sebutkan)</t>
  </si>
  <si>
    <t>Dampak_Tambang_Lingkungan</t>
  </si>
  <si>
    <t>c. Dampak Aktivitas Pertambangan Terhadap Desa di Bidang Kondisi Infrastruktur (Sebutkan)</t>
  </si>
  <si>
    <t>Dampak_Tambang_Infrastruktur</t>
  </si>
  <si>
    <t>d. Dampak Aktivitas Pertambangan Terhadap Desa di Bidang Kesehatan (Sebutkan)</t>
  </si>
  <si>
    <t>Dampak_Tambang_Kesehatan</t>
  </si>
  <si>
    <t>e. Dampak Aktivitas Pertambangan Terhadap Desa di Bidang Lainnya (Sebutkan)</t>
  </si>
  <si>
    <t>Dampak_Tambang_Lainnya</t>
  </si>
  <si>
    <t>TIDAK  ADA</t>
  </si>
  <si>
    <t>Kawasan Perkebunan</t>
  </si>
  <si>
    <t>Domestik</t>
  </si>
  <si>
    <t>a. Terdapat Perkebunan Karet</t>
  </si>
  <si>
    <t>Terdapat_Perkebunan_Karet</t>
  </si>
  <si>
    <t>Ekspor</t>
  </si>
  <si>
    <t>b. Luas Area Perkebunan karet</t>
  </si>
  <si>
    <t>Luas_Area_Perkebunan_karet</t>
  </si>
  <si>
    <t>246.a</t>
  </si>
  <si>
    <t>c. Status Penguasaan/Pengelolaan Perkebunan Karet</t>
  </si>
  <si>
    <t>Status_Penguasaan/Pengelolaan_Perkebunan_Karet</t>
  </si>
  <si>
    <t>d. Sebutkan Penguasa/Pengelola Perkebunan Karet</t>
  </si>
  <si>
    <t>Sebutkan_Penguasa/Pengelola_Perkebunan_Karet</t>
  </si>
  <si>
    <t>e. Jumlah Produksi karet dalam 1 tahun terakhir</t>
  </si>
  <si>
    <t>Jumlah_Produksi_karet_dalam_1_tahun_terakhir</t>
  </si>
  <si>
    <t>Ton Per Tahun</t>
  </si>
  <si>
    <t>max 10rb</t>
  </si>
  <si>
    <t>f. Jumlah Petani di Perkebunan Karet</t>
  </si>
  <si>
    <t>Jumlah_Petani_di_Perkebunan_Karet</t>
  </si>
  <si>
    <t>g. Jumlah Petani Masyarakat Desa Setempat Bekerja di Perkebunan Karet</t>
  </si>
  <si>
    <t>Jlh_Petani_Lokal_Kebun_Karet</t>
  </si>
  <si>
    <t>h. Tujuan Pasar Perdagangan Hasil Panen Perkebunan Karet</t>
  </si>
  <si>
    <t>Tujuan_Pasar_Perdagangan_Hasil_Panen_Perkebunan_Karet</t>
  </si>
  <si>
    <t>i. Wilayah Tujuan Domestik/ Ekspor Perkebunan Karet</t>
  </si>
  <si>
    <t>Wilayah_Tujuan_Domestik/_Ekspor_Perkebunan_Karet</t>
  </si>
  <si>
    <t>a. Terdapat Perkebunan Kelapa Sawit</t>
  </si>
  <si>
    <t>Terdapat_Perkebunan_Kelapa_Sawit</t>
  </si>
  <si>
    <t>b. Luas Area Perkebunan Kelapa Sawit</t>
  </si>
  <si>
    <t>Luas_Area_Perkebunan_Kelapa_Sawit</t>
  </si>
  <si>
    <t>247.a</t>
  </si>
  <si>
    <t>c. Status Penguasaan/Pengelolaan Perkebunan Kelapa Sawit</t>
  </si>
  <si>
    <t>Status_Penguasaan/Pengelolaan_Perkebunan_Kelapa_Sawit</t>
  </si>
  <si>
    <t>d. Sebutkan Penguasa/Pengelola Perkebunan Kelapa Sawit</t>
  </si>
  <si>
    <t>Sebutkan_Penguasa/Pengelola_Perkebunan_Kelapa_Sawit</t>
  </si>
  <si>
    <t>e. Jumlah Produksi Kelapa Sawit dalam 1 Tahun terakhir</t>
  </si>
  <si>
    <t>Jumlah_Produksi_Kelapa_Sawit_dalam_1_Tahun_terakhir</t>
  </si>
  <si>
    <t>f. Jumlah Petani di Perkebunan Kelapa Sawit</t>
  </si>
  <si>
    <t>Jumlah_Petani_di_Perkebunan_Kelapa_Sawit</t>
  </si>
  <si>
    <t>g. Jumlah Petani Masyarakat Desa Setempat Bekerja di Perkebunan Kelapa Sawit</t>
  </si>
  <si>
    <t>Jlh_Petani_Lokal_Kebun_KlpSawit</t>
  </si>
  <si>
    <t>h. Tujuan Pasar Perdagangan Hasil Panen Perkebunan Kelapa Sawit</t>
  </si>
  <si>
    <t>Tujuan_Pasar_Perdagangan_Hasil_Panen_Perkebunan_Kelapa_Sawit</t>
  </si>
  <si>
    <t>i. Wilayah Tujuan Domestik/ Ekspor Hasil Perkebunan Kelapa Sawit</t>
  </si>
  <si>
    <t>Wilayah_Tujuan_Domestik/_Ekspor_Hasil_Perkebunan_Kelapa_Sawit</t>
  </si>
  <si>
    <t>a. Terdapat Perkebunan Coklat/ Kacao</t>
  </si>
  <si>
    <t>Terdapat_Perkebunan_Coklat/_Kacao</t>
  </si>
  <si>
    <t>b. Luas Area Perkebunan Coklat/ kakao</t>
  </si>
  <si>
    <t>Luas_Area_Perkebunan_Coklat/_kakao</t>
  </si>
  <si>
    <t>248.a</t>
  </si>
  <si>
    <t>c. Status Penguasaan/Pengelolaan Perkebunan Coklat/Kakao</t>
  </si>
  <si>
    <t>Status_Penguasaan/Pengelolaan_Perkebunan_Coklat/Kakao</t>
  </si>
  <si>
    <t>d. Sebutkan Penguasa/Pengelola Perkebunan Coklat/Kakao</t>
  </si>
  <si>
    <t>Sebutkan_Penguasa/Pengelola_Perkebunan_Coklat/Kakao</t>
  </si>
  <si>
    <t>e. Jumlah Produksi Kelapa Coklat/Kakao dalam 1 Tahun terakhir</t>
  </si>
  <si>
    <t>Jumlah_Produksi_Kelapa_Coklat/Kakao_dalam_1_Tahun_terakhir</t>
  </si>
  <si>
    <t>f. Jumlah Petani di Perkebunan Coklat/Kakao</t>
  </si>
  <si>
    <t>Jumlah_Petani_di_Perkebunan_Coklat/Kakao</t>
  </si>
  <si>
    <t>g. Jumlah Petani Masyarakat Desa Setempat Bekerja di Perkebunan Coklat/Kakao</t>
  </si>
  <si>
    <t>Jlh_Petani_Lokal_Kebun_Coklat</t>
  </si>
  <si>
    <t>h. Tujuan Pasar Perdagangan Hasil Panen Perkebunan Coklat/Kakao</t>
  </si>
  <si>
    <t>Tujuan_Pasar_Perdagangan_Hasil_Panen_Perkebunan_Coklat/Kakao</t>
  </si>
  <si>
    <t>i. Wilayah Tujuan Domestik/ Ekspor Hasil Perkebunan Coklat/Kakao</t>
  </si>
  <si>
    <t>Wilayah_Tujuan_Domestik/_Ekspor_Hasil_Perkebunan_Coklat/Kakao</t>
  </si>
  <si>
    <t>a. Terdapat Perkebunan Kopi</t>
  </si>
  <si>
    <t>Terdapat_Perkebunan_Kopi</t>
  </si>
  <si>
    <t>b. Luas Area Perkebunan Kopi</t>
  </si>
  <si>
    <t>Luas_Area_Perkebunan_Kopi</t>
  </si>
  <si>
    <t>249.a</t>
  </si>
  <si>
    <t>c. Status Penguasaan/Pengelolaan Perkebunan Kopi</t>
  </si>
  <si>
    <t>Status_Penguasaan/Pengelolaan_Perkebunan_Kopi</t>
  </si>
  <si>
    <t>d. Sebutkan Penguasa/Pengelola Perkebunan Kopi</t>
  </si>
  <si>
    <t>Sebutkan_Penguasa/Pengelola_Perkebunan_Kopi</t>
  </si>
  <si>
    <t>e. Jumlah Produksi Kopi dalam 1 Tahun terakhir</t>
  </si>
  <si>
    <t>Jumlah_Produksi_Kopi_dalam_1_Tahun_terakhir</t>
  </si>
  <si>
    <t>f. Jumlah Petani di Perkebunan Kopi</t>
  </si>
  <si>
    <t>Jumlah_Petani_di_Perkebunan_Kopi</t>
  </si>
  <si>
    <t>g. Jumlah Petani Masyarakat Desa Setempat Bekerja di Perkebunan Kopi</t>
  </si>
  <si>
    <t>Jlh_Petani_Lokal_Kebun_Kopi</t>
  </si>
  <si>
    <t>h. Tujuan Pasar Perdagangan Hasil Panen Perkebunan Kopi</t>
  </si>
  <si>
    <t>Tujuan_Pasar_Perdagangan_Hasil_Panen_Perkebunan_Kopi</t>
  </si>
  <si>
    <t>i. Wilayah Tujuan Domestik/ Ekspor Hasil Perkebunan Kopi</t>
  </si>
  <si>
    <t>Wilayah_Tujuan_Domestik/_Ekspor_Hasil_Perkebunan_Kopi</t>
  </si>
  <si>
    <t>a. Terdapat Perkebunan Teh</t>
  </si>
  <si>
    <t>Terdapat_Perkebunan_Teh</t>
  </si>
  <si>
    <t xml:space="preserve">b. Luas Area Perkebunan Teh </t>
  </si>
  <si>
    <t>Luas_Area_Perkebunan_Teh_</t>
  </si>
  <si>
    <t>250.a</t>
  </si>
  <si>
    <t xml:space="preserve">c. Status Penguasaan/Pengelolaan Perkebunan Teh </t>
  </si>
  <si>
    <t>Status_Penguasaan/Pengelolaan_Perkebunan_Teh_</t>
  </si>
  <si>
    <t>d. Sebutkan Penguasa/Pengelola Perkebunan Teh</t>
  </si>
  <si>
    <t>Sebutkan_Penguasa/Pengelola_Perkebunan_Teh</t>
  </si>
  <si>
    <t>e. Jumlah Produksi The dalam 1 Tahun terakhir</t>
  </si>
  <si>
    <t>Jumlah_Produksi_The_dalam_1_Tahun_terakhir</t>
  </si>
  <si>
    <t>f. Jumlah Petani di Perkebunan Teh</t>
  </si>
  <si>
    <t>Jumlah_Petani_di_Perkebunan_Teh</t>
  </si>
  <si>
    <t>g. Jumlah Petani Masyarakat Desa Setempat Bekerja di Perkebunan Teh</t>
  </si>
  <si>
    <t>Jlh_Petani_Lokal_Kebun_Teh</t>
  </si>
  <si>
    <t>h. Tujuan Pasar Perdagangan Hasil Panen Perkebunan Teh</t>
  </si>
  <si>
    <t>Tujuan_Pasar_Perdagangan_Hasil_Panen_Perkebunan_Teh</t>
  </si>
  <si>
    <t>i. Wilayah Tujuan Domestik/ Ekspor Hasil Perkebunan Teh</t>
  </si>
  <si>
    <t>Wilayah_Tujuan_Domestik/_Ekspor_Hasil_Perkebunan_Teh</t>
  </si>
  <si>
    <t>a. Terdapat Perkebunan Kina</t>
  </si>
  <si>
    <t>Terdapat_Perkebunan_Kina</t>
  </si>
  <si>
    <t>b. Luas Area Perkebunan Kina</t>
  </si>
  <si>
    <t>Luas_Area_Perkebunan_Kina</t>
  </si>
  <si>
    <t>251.a</t>
  </si>
  <si>
    <t>c. Status Penguasaan/Pengelolaan Perkebunan Kina</t>
  </si>
  <si>
    <t>Status_Penguasaan/Pengelolaan_Perkebunan_Kina</t>
  </si>
  <si>
    <t>d. Sebutkan Penguasa/Pengelola Perkebunan Kina</t>
  </si>
  <si>
    <t>Sebutkan_Penguasa/Pengelola_Perkebunan_Kina</t>
  </si>
  <si>
    <t>e. Jumlah Produksi Kina dalam 1 Tahun terakhir</t>
  </si>
  <si>
    <t>Jumlah_Produksi_Kina_dalam_1_Tahun_terakhir</t>
  </si>
  <si>
    <t>f. Jumlah Petani di Perkebunan Kina</t>
  </si>
  <si>
    <t>Jumlah_Petani_di_Perkebunan_Kina</t>
  </si>
  <si>
    <t>g. Jumlah Petani Masyarakat Desa Setempat Bekerja di Perkebunan Kina</t>
  </si>
  <si>
    <t>Jlh_Petani_Lokal_Kebun_Kina</t>
  </si>
  <si>
    <t>h. Tujuan Pasar Perdagangan Hasil Panen Perkebunan Kina</t>
  </si>
  <si>
    <t>Tujuan_Pasar_Perdagangan_Hasil_Panen_Perkebunan_Kina</t>
  </si>
  <si>
    <t>i. Wilayah Tujuan Domestik/ Ekspor Hasil Perkebunan Kina</t>
  </si>
  <si>
    <t>Wilayah_Tujuan_Domestik/_Ekspor_Hasil_Perkebunan_Kina</t>
  </si>
  <si>
    <t>a. Terdapat Perkebunan Tebu</t>
  </si>
  <si>
    <t>Terdapat_Perkebunan_Tebu</t>
  </si>
  <si>
    <t>b. Luas Area Perkebunan Tebu</t>
  </si>
  <si>
    <t>Luas_Area_Perkebunan_Tebu</t>
  </si>
  <si>
    <t>252.a</t>
  </si>
  <si>
    <t>c. Status Penguasaan/Pengelolaan Perkebunan Tebu</t>
  </si>
  <si>
    <t>Status_Penguasaan/Pengelolaan_Perkebunan_Tebu</t>
  </si>
  <si>
    <t>d. Sebutkan Penguasa/Pengelola Perkebunan Tebu</t>
  </si>
  <si>
    <t>Sebutkan_Penguasa/Pengelola_Perkebunan_Tebu</t>
  </si>
  <si>
    <t>e. Jumlah Produksi Tebu dalam 1 Tahun terakhir</t>
  </si>
  <si>
    <t>Jumlah_Produksi_Tebu_dalam_1_Tahun_terakhir</t>
  </si>
  <si>
    <t>f. Jumlah Petani di Perkebunan Tebu</t>
  </si>
  <si>
    <t>Jumlah_Petani_di_Perkebunan_Tebu</t>
  </si>
  <si>
    <t>g. Jumlah Petani Masyarakat Desa Setempat Bekerja di Perkebunan Tebu</t>
  </si>
  <si>
    <t>Jlh_Petani_Lokal_Kebun_Tebu</t>
  </si>
  <si>
    <t>h. Tujuan Pasar Perdagangan Hasil Panen Perkebunan Tebu</t>
  </si>
  <si>
    <t>Tujuan_Pasar_Perdagangan_Hasil_Panen_Perkebunan_Tebu</t>
  </si>
  <si>
    <t>i. Wilayah Tujuan Domestik/ Ekspor Hasil Perkebunan Tebu</t>
  </si>
  <si>
    <t>Wilayah_Tujuan_Domestik/_Ekspor_Hasil_Perkebunan_Tebu</t>
  </si>
  <si>
    <t>a. Terdapat Perkebunan Tembakau</t>
  </si>
  <si>
    <t>Terdapat_Perkebunan_Tembakau</t>
  </si>
  <si>
    <t>b. Luas Area Perkebunan Tembakau</t>
  </si>
  <si>
    <t>Luas_Area_Perkebunan_Tembakau</t>
  </si>
  <si>
    <t>253.a</t>
  </si>
  <si>
    <t>c. Status Penguasaan/Pengelolaan Perkebunan Tembakau</t>
  </si>
  <si>
    <t>Status_Penguasaan/Pengelolaan_Perkebunan_Tembakau</t>
  </si>
  <si>
    <t>d. Sebutkan Penguasa/Pengelola Perkebunan Tembakau</t>
  </si>
  <si>
    <t>Sebutkan_Penguasa/Pengelola_Perkebunan_Tembakau</t>
  </si>
  <si>
    <t>e. Jumlah Produksi Tembakau dalam 1 tahun terakhir</t>
  </si>
  <si>
    <t>Jumlah_Produksi_Tembakau_dalam_1_tahun_terakhir</t>
  </si>
  <si>
    <t>f. Jumlah Petani di Perkebunan Tembakau</t>
  </si>
  <si>
    <t>Jumlah_Petani_di_Perkebunan_Tembakau</t>
  </si>
  <si>
    <t>g. Jumlah Petani Masyarakat Desa Setempat Bekerja di Perkebunan Tembakau</t>
  </si>
  <si>
    <t>Jlh_Petani_Lokal_Kebun_Tembakau</t>
  </si>
  <si>
    <t>h. Tujuan Pasar Perdagangan Hasil Panen Perkebunan Tembakau</t>
  </si>
  <si>
    <t>Tujuan_Pasar_Perdagangan_Hasil_Panen_Perkebunan_Tembakau</t>
  </si>
  <si>
    <t>i. Wilayah Tujuan Domestik/ Ekspor Hasil Perkebunan Tembakau</t>
  </si>
  <si>
    <t>Wilayah_Tujuan_Domestik/_Ekspor_Hasil_Perkebunan_Tembakau</t>
  </si>
  <si>
    <t>TIDAK ADAA</t>
  </si>
  <si>
    <t>a. Terdapat Perkebunan Lainnya (Sebutkan)</t>
  </si>
  <si>
    <t>Terdapat_Perkebunan_Lainnya_(Sebutkan)</t>
  </si>
  <si>
    <t>b. Jenis Perkebunan Lainnya, Sebutkan</t>
  </si>
  <si>
    <t>Jns_Perkebunan_Lannya_(Sebutkan)</t>
  </si>
  <si>
    <t>c. Luas Area Perkebunan Lainnya</t>
  </si>
  <si>
    <t>Luas_Area_Perkebunan_Lainnya</t>
  </si>
  <si>
    <t>254.a</t>
  </si>
  <si>
    <t>d. Status Penguasaan/Pengelolaan Perkebunan Lainnya</t>
  </si>
  <si>
    <t>Status_Penguasaan/Pengelolaan_Perkebunan_Lainnya</t>
  </si>
  <si>
    <t>e. Sebutkan Penguasa/Pengelola Perkebunan Lainnya</t>
  </si>
  <si>
    <t>Sebutkan_Penguasa/Pengelola_Perkebunan_Lainnya</t>
  </si>
  <si>
    <t>f. Jumlah Produksi lainnya dalam 1 Tahun Terakhir</t>
  </si>
  <si>
    <t>Jumlah_Produksi_lainnya_dalam_1_Tahun_Terakhir</t>
  </si>
  <si>
    <t>g. Jumlah Petani di Perkebunan Lainnya</t>
  </si>
  <si>
    <t>Jumlah_Petani_di_Perkebunan_Lainnya</t>
  </si>
  <si>
    <t>h. Jumlah Petani Masyarakat Desa Setempat Bekerja di Perkebunan Lainnya</t>
  </si>
  <si>
    <t>Jlh_Petani_Lokal_Kebun_Lainnya</t>
  </si>
  <si>
    <t>i. Tujuan Pasar Perdagangan Hasil Panen Perkebunan Lainnya</t>
  </si>
  <si>
    <t>Tujuan_Pasar_Perdagangan_Hasil_Panen_Perkebunan_Lainnya</t>
  </si>
  <si>
    <t>j. Wilayah Tujuan Domestik/ Ekspor Hasil Perkebunan Lainya</t>
  </si>
  <si>
    <t>Wilayah_Tujuan_Domestik/_Ekspor_Hasil_Perkebunan_Lainya</t>
  </si>
  <si>
    <t>Kawasan Pesisir Pantai</t>
  </si>
  <si>
    <t>a. Berbatasan langsung dengan laut (Tepi Laut)</t>
  </si>
  <si>
    <t>Berbatasan_langsung_dengan_laut_(Tepi_Laut)</t>
  </si>
  <si>
    <t>Iya</t>
  </si>
  <si>
    <t>b. Jika YA, Berapa Panjang Garis Pantai</t>
  </si>
  <si>
    <t>Jika_YA,_Berapa_Panjang_Garis_Pantai</t>
  </si>
  <si>
    <t>Km</t>
  </si>
  <si>
    <t>max 500</t>
  </si>
  <si>
    <t>255.a</t>
  </si>
  <si>
    <t>a. Terdapat Keberadaan Hutan Mangrove</t>
  </si>
  <si>
    <t>Terdapat_Keberadaan_Hutan_Mangrove</t>
  </si>
  <si>
    <t>b. Luas Hutan Mangrove</t>
  </si>
  <si>
    <t>Luas_Hutan_Mangrove</t>
  </si>
  <si>
    <t>256.a</t>
  </si>
  <si>
    <t>a. Jumlah Warga Desa yang Berprofesi Sebagai Nelayan</t>
  </si>
  <si>
    <t>Jumlah_Warga_Desa_yang_Berprofesi_Sebagai_Nelayan</t>
  </si>
  <si>
    <t>Max jlh penduduk</t>
  </si>
  <si>
    <t>b. Jumlah Perahu/Kapal Milik Perorangan</t>
  </si>
  <si>
    <t>Jumlah_Perahu/Kapal_Milik_Perorangan</t>
  </si>
  <si>
    <t>Unit</t>
  </si>
  <si>
    <t>c. Jumlah Perahu/Kapal Milik Swasta</t>
  </si>
  <si>
    <t>Jumlah_Perahu/Kapal_Milik_Swasta</t>
  </si>
  <si>
    <t>d. Jumlah Perahu/Kapal Bantuan Pemerintah</t>
  </si>
  <si>
    <t>Jumlah_Perahu/Kapal_Bantuan_Pemerintah</t>
  </si>
  <si>
    <t>e. Perahu/Kapal Milik Lainnya (Sebutkan)</t>
  </si>
  <si>
    <t>Perahu/Kapal_Milik_Lainnya_(Sebutkan)</t>
  </si>
  <si>
    <t>f. Jumlah Perahu/Kapal Milik Lainnya (Sebutkan)</t>
  </si>
  <si>
    <t>Jumlah_Perahu/Kapal_Milik_Lainnya_(Sebutkan)</t>
  </si>
  <si>
    <t>DATA DEMOGRAFI</t>
  </si>
  <si>
    <t>PENDUDUK</t>
  </si>
  <si>
    <t>Jumlah Total Penduduk</t>
  </si>
  <si>
    <t>Total_Pend</t>
  </si>
  <si>
    <t>Jiwa</t>
  </si>
  <si>
    <t>Skor BPJS</t>
  </si>
  <si>
    <t>max 10-120rb</t>
  </si>
  <si>
    <t>Jumlah Penduduk Laki-laki</t>
  </si>
  <si>
    <t>Total_Lk</t>
  </si>
  <si>
    <t>jlh Penduduk Laki+Perempuan &lt;=120rb</t>
  </si>
  <si>
    <t>Jumlah Penduduk Perempuan</t>
  </si>
  <si>
    <t>Total_Pr</t>
  </si>
  <si>
    <t>Jumlah Penduduk Pendatang sd Tahun 2024</t>
  </si>
  <si>
    <t>Pendatang</t>
  </si>
  <si>
    <t>Jumlah Penduduk Pergi sd Tahun 2024</t>
  </si>
  <si>
    <t>Pend_pergi</t>
  </si>
  <si>
    <t>Kepala Keluarga</t>
  </si>
  <si>
    <t>Jumlah Total Kepala Keluarga di desa</t>
  </si>
  <si>
    <t>Total_KK</t>
  </si>
  <si>
    <t>KK</t>
  </si>
  <si>
    <t>Skor Ragam Produksi/ Skor Pasar</t>
  </si>
  <si>
    <t>10-75rb, kunci kk listrik</t>
  </si>
  <si>
    <t>Jumlah Total Kepala Keluarga Perempuan</t>
  </si>
  <si>
    <t>Total_KKP</t>
  </si>
  <si>
    <t>max total KK</t>
  </si>
  <si>
    <t>Jumlah Keluarga Miskin</t>
  </si>
  <si>
    <t>Total_KKmis</t>
  </si>
  <si>
    <t>Jumlah Penduduk Berdasarkan Struktur Usia</t>
  </si>
  <si>
    <t>a. &lt;3 tahun</t>
  </si>
  <si>
    <t>Total_&lt;3_thn</t>
  </si>
  <si>
    <t>+Total Penduduk Usia &lt;= Total Penduduk</t>
  </si>
  <si>
    <t>b. 3-6 tahun</t>
  </si>
  <si>
    <t>Total_3-6_thn</t>
  </si>
  <si>
    <t>c. 7-12 tahun</t>
  </si>
  <si>
    <t>Total_7-12_thn</t>
  </si>
  <si>
    <t>d. 13-15 tahun</t>
  </si>
  <si>
    <t>Total_13-15_thn</t>
  </si>
  <si>
    <t>e. 16-18 tahun</t>
  </si>
  <si>
    <t>Total_16-18_thn</t>
  </si>
  <si>
    <t>f. 19-59 tahun</t>
  </si>
  <si>
    <t>Total_19-59_thn</t>
  </si>
  <si>
    <t>g. &gt;59 tahun keatas</t>
  </si>
  <si>
    <t>Total_&gt;59_thn</t>
  </si>
  <si>
    <t>Jumlah Penduduk Berdasarkan Pekerjaan</t>
  </si>
  <si>
    <t>a. Petani</t>
  </si>
  <si>
    <t>Petani_Lk</t>
  </si>
  <si>
    <t>Total Penduduk Pekerjaan &lt;= Total Penduduk</t>
  </si>
  <si>
    <t>Petani_Pr</t>
  </si>
  <si>
    <t>b. Nelayan</t>
  </si>
  <si>
    <t>Nelayan_Lk</t>
  </si>
  <si>
    <t>Nelayan_Pr</t>
  </si>
  <si>
    <t>c. Buruh Tani/Buruh Nelayan</t>
  </si>
  <si>
    <t>Buruh_tani_Lk</t>
  </si>
  <si>
    <t>Buruh_tani_Pr</t>
  </si>
  <si>
    <t>d. Buruh Pabrik</t>
  </si>
  <si>
    <t>Buruh_pabrik_Lk</t>
  </si>
  <si>
    <t>Buruh_pabrik_Pr</t>
  </si>
  <si>
    <t>e. PNS</t>
  </si>
  <si>
    <t>PNS_Lk</t>
  </si>
  <si>
    <t>PNS_Pr</t>
  </si>
  <si>
    <t>f. Pegawai Swasta</t>
  </si>
  <si>
    <t>Swasta_Lk</t>
  </si>
  <si>
    <t>Swasta_Pr</t>
  </si>
  <si>
    <t>g. Wiraswasta / pedagang</t>
  </si>
  <si>
    <t>Wiraswasta_Lk</t>
  </si>
  <si>
    <t>Wiraswasta_Pr</t>
  </si>
  <si>
    <t>h. TNI</t>
  </si>
  <si>
    <t>TNI_Lk</t>
  </si>
  <si>
    <t>TNI_Pr</t>
  </si>
  <si>
    <t>i. POLRI</t>
  </si>
  <si>
    <t>POLRI_Lk</t>
  </si>
  <si>
    <t>POLRI_Pr</t>
  </si>
  <si>
    <t>j. Dokter (Swasta/ Honorer)</t>
  </si>
  <si>
    <t>Dokter_Lk</t>
  </si>
  <si>
    <t>Dokter_Pr</t>
  </si>
  <si>
    <t>k. Bidan (Swasta/ Honorer)</t>
  </si>
  <si>
    <t>Bidan</t>
  </si>
  <si>
    <t>l. Perawat (Swasta/ Honorer)</t>
  </si>
  <si>
    <t>Perawat_Lk</t>
  </si>
  <si>
    <t>Perawat_Pr</t>
  </si>
  <si>
    <t>m. Lainnya</t>
  </si>
  <si>
    <t>Pekerja_lain_Lk</t>
  </si>
  <si>
    <t>Pekerja_lain_Pr</t>
  </si>
  <si>
    <t>Pekerja_lain</t>
  </si>
  <si>
    <t>n. Jumlah warga penyandang kebutuhan khusus</t>
  </si>
  <si>
    <t>PBK_Lk</t>
  </si>
  <si>
    <t>PBK_Pr</t>
  </si>
  <si>
    <t>III. DIMENSI SOSIAL</t>
  </si>
  <si>
    <t>KESEHATAN</t>
  </si>
  <si>
    <t>Ketersediaan Sarana Kesehatan</t>
  </si>
  <si>
    <t>a. Sarana kesehatan terdekat</t>
  </si>
  <si>
    <t>Sarkes_terdekat</t>
  </si>
  <si>
    <t>b. Jarak ke sarana kesehatan terdekat</t>
  </si>
  <si>
    <t>Jarak_sarkes</t>
  </si>
  <si>
    <t>Meter</t>
  </si>
  <si>
    <t>max 50rb</t>
  </si>
  <si>
    <t>c. Waktu tempuh untuk menuju ke sarana kesehatan terdekat</t>
  </si>
  <si>
    <t>Menit_sarkes</t>
  </si>
  <si>
    <t>Menit</t>
  </si>
  <si>
    <t>Skor Akses Sarkes</t>
  </si>
  <si>
    <t>max 1200</t>
  </si>
  <si>
    <t>Rumah Sakit</t>
  </si>
  <si>
    <t>a. Ketersediaan sarana Rumah Sakit di Desa</t>
  </si>
  <si>
    <t>RS_terdekat</t>
  </si>
  <si>
    <t>b. Jarak ke Rumah Sakit terdekat</t>
  </si>
  <si>
    <t>Jarak_RS</t>
  </si>
  <si>
    <t>max 300rb</t>
  </si>
  <si>
    <t xml:space="preserve">c. Waktu tempuh untuk menuju ke Rumah Sakit terdekat </t>
  </si>
  <si>
    <t>Menit_RS</t>
  </si>
  <si>
    <t>Rumah Sakit Bersalin</t>
  </si>
  <si>
    <t>a. Ketersediaan sarana Rumah Sakit Bersalin di Desa</t>
  </si>
  <si>
    <t>RS Bersalin_terdekat</t>
  </si>
  <si>
    <t>b. Jarak ke Rumah Sakit bersalin terdekat</t>
  </si>
  <si>
    <t>Jarak_RSBersalin</t>
  </si>
  <si>
    <t xml:space="preserve">c. Waktu tempuh untuk menuju ke Rumah Sakit bersalin terdekat </t>
  </si>
  <si>
    <t>Menit_RSBersalin</t>
  </si>
  <si>
    <t>Puskesmas Rawat inap</t>
  </si>
  <si>
    <t>a. Ketersediaan sarana Puskesmas dengan rawat inap di Desa</t>
  </si>
  <si>
    <t>Puskes-Inap_terdekat</t>
  </si>
  <si>
    <t>b. Jarak ke Puskesmas dengan rawat inap terdekat</t>
  </si>
  <si>
    <t>Jarak_Puskes-Inap</t>
  </si>
  <si>
    <t xml:space="preserve">c. Waktu tempuh untuk menuju ke Puskesmas dengan rawat inap terdekat </t>
  </si>
  <si>
    <t>Menit_Puskes-Inap</t>
  </si>
  <si>
    <t>Puskesmas Tanpa Rawat Inap</t>
  </si>
  <si>
    <t>a. Ketersediaan sarana Puskesmas tanpa rawat inap di Desa</t>
  </si>
  <si>
    <t>Puskes-Non Inap_terdekat</t>
  </si>
  <si>
    <t>b. Jarak ke Puskesmas tanpa rawat inap terdekat</t>
  </si>
  <si>
    <t>Jarak_Puskes-Non Inap</t>
  </si>
  <si>
    <t xml:space="preserve">c. Waktu tempuh untuk menuju ke Puskesmas tanpa rawat inap terdekat </t>
  </si>
  <si>
    <t>Menit_Puskes-Non Inap</t>
  </si>
  <si>
    <t>Puskesmas Pembantu</t>
  </si>
  <si>
    <t>a. Ketersediaan sarana Puskesmas Pembantu di Desa</t>
  </si>
  <si>
    <t>Pustu_terdekat</t>
  </si>
  <si>
    <t>b. Jarak ke Puskesmas Pembantu terdekat</t>
  </si>
  <si>
    <t>Jarak_Pustu</t>
  </si>
  <si>
    <t xml:space="preserve">c. Waktu tempuh untuk menuju ke Puskesmas Pembantu terdekat </t>
  </si>
  <si>
    <t>Menit_Pustu</t>
  </si>
  <si>
    <t>Rumah Bersalin</t>
  </si>
  <si>
    <t>a. Ketersediaan sarana Rumah Bersalin di Desa</t>
  </si>
  <si>
    <t>Rumah_Bersalin_terdekat</t>
  </si>
  <si>
    <t>b. Jarak ke Rumah bersalin terdekat</t>
  </si>
  <si>
    <t>Jarak_Rumah_Bersalin</t>
  </si>
  <si>
    <t xml:space="preserve">c. Waktu tempuh untuk menuju ke Rumah bersalin terdekat </t>
  </si>
  <si>
    <t>Menit_Rumah_Bersalin</t>
  </si>
  <si>
    <t>Poliklinik/Balai Pengobatan</t>
  </si>
  <si>
    <t>a. Ketersediaan sarana Poliklinik/Balai Pengobatan di Desa</t>
  </si>
  <si>
    <t>Polikklinik/BP_terdekat</t>
  </si>
  <si>
    <t>b. Jarak ke Poliklinik/Balai Pengobatan terdekat</t>
  </si>
  <si>
    <t>Jarak_Polikklinik/BP</t>
  </si>
  <si>
    <t xml:space="preserve">c. Waktu tempuh untuk menuju ke Poliklinik/Balai Pengobatan terdekat </t>
  </si>
  <si>
    <t>Menit_Polikklinik/BP</t>
  </si>
  <si>
    <t>Tempat Praktek Dokter</t>
  </si>
  <si>
    <t>a. Ketersediaan sarana Tempat Praktek Dokter di Desa</t>
  </si>
  <si>
    <t>Praktek Dokter_terdekat</t>
  </si>
  <si>
    <t>b. Jarak ke Tempat Praktek Dokter terdekat</t>
  </si>
  <si>
    <t>Jarak_Praktek Dokter</t>
  </si>
  <si>
    <t xml:space="preserve">c. Waktu tempuh untuk menuju ke Tempat Praktek Dokter terdekat </t>
  </si>
  <si>
    <t>Menit_Praktek Dokter</t>
  </si>
  <si>
    <t>Tempat Praktek Bidan</t>
  </si>
  <si>
    <t>a. Ketersediaan sarana Tempat Praktek Bidan di Desa</t>
  </si>
  <si>
    <t>Bidan_terdekat</t>
  </si>
  <si>
    <t>b. Jarak ke Tempat Praktek Bidan terdekat</t>
  </si>
  <si>
    <t>Jarak_Bidan</t>
  </si>
  <si>
    <t xml:space="preserve">c. Waktu tempuh untuk menuju ke Tempat Praktek Bidan terdekat </t>
  </si>
  <si>
    <t>Menit_Bidan</t>
  </si>
  <si>
    <t>Apotik</t>
  </si>
  <si>
    <t>a. Ketersediaan sarana Apotek di Desa</t>
  </si>
  <si>
    <t>Apotik_terdekat</t>
  </si>
  <si>
    <t>b. Jarak ke Apotek terdekat</t>
  </si>
  <si>
    <t>Jarak_Apotik</t>
  </si>
  <si>
    <t xml:space="preserve">c. Waktu tempuh untuk menuju ke Apotek terdekat </t>
  </si>
  <si>
    <t>Menit_Apotik</t>
  </si>
  <si>
    <t>Ketersediaan Layana Tenaga Kesehatan Bidan</t>
  </si>
  <si>
    <t>a. Ketersediaan Layanan tenaga kesehatan bidan Desa (BDD)</t>
  </si>
  <si>
    <t>BDD</t>
  </si>
  <si>
    <t>b. Jumlah bidan Desa (BDD) di Desa</t>
  </si>
  <si>
    <t>Jml_BDD</t>
  </si>
  <si>
    <t>Skor Bidan</t>
  </si>
  <si>
    <t>max 50</t>
  </si>
  <si>
    <t>S 312.a</t>
  </si>
  <si>
    <t>Ketersediaan Layanan Tenaga Kesehatan Dokter</t>
  </si>
  <si>
    <t>a. Ketersediaan Layanan tenaga kesehatan dokter</t>
  </si>
  <si>
    <t>Dokter</t>
  </si>
  <si>
    <t>b. Jumlah dokter di Desa</t>
  </si>
  <si>
    <t>Jml_dr</t>
  </si>
  <si>
    <t>Skor Dokter</t>
  </si>
  <si>
    <t>max 10</t>
  </si>
  <si>
    <t>S 313.a</t>
  </si>
  <si>
    <t>Ketersediaan Layanan Tenaga Kesehatan Lainnya</t>
  </si>
  <si>
    <t>a. Ketersediaan Layanan tenaga kesehatan lainnya selain dokter dan bidan di Desa</t>
  </si>
  <si>
    <t>Nakes</t>
  </si>
  <si>
    <t>b. Jumlah tenaga kesehatan lainnya selain dokter dan bidan</t>
  </si>
  <si>
    <t>Jml_Nakes</t>
  </si>
  <si>
    <t>Skor Nakes Lain</t>
  </si>
  <si>
    <t>S 314.a</t>
  </si>
  <si>
    <t>Akses Ke Poskesdes/ Polindes dan Posyandu</t>
  </si>
  <si>
    <t>a. Ketersediaan sarana Poskesdes/ Polindes</t>
  </si>
  <si>
    <t>Poskeslindes</t>
  </si>
  <si>
    <t>b. Jarak ke Poskesdes/Polindes terdekat</t>
  </si>
  <si>
    <t>Jarak_Poskeslindes</t>
  </si>
  <si>
    <t>Skor Akses Poskesdes</t>
  </si>
  <si>
    <t xml:space="preserve">c. Waktu tempuh untuk menuju ke Poskesdes/ Polindes terdekat </t>
  </si>
  <si>
    <t>Menit_Poskeslindes</t>
  </si>
  <si>
    <t>max 600</t>
  </si>
  <si>
    <t>d. Fungsi Poskesdes/ Polindes</t>
  </si>
  <si>
    <t>Fungsi_Poskeslindes</t>
  </si>
  <si>
    <t>0</t>
  </si>
  <si>
    <t>S 315.a</t>
  </si>
  <si>
    <t>e.Ketersediaan rumah singgah / rumah tunggu untuk ibu hamil</t>
  </si>
  <si>
    <t>RumahSinggah</t>
  </si>
  <si>
    <t>1</t>
  </si>
  <si>
    <t>a. Jumlah Posyandu di Desa</t>
  </si>
  <si>
    <t>Jml_Posyandu</t>
  </si>
  <si>
    <t>Skor Aktif Posyandu</t>
  </si>
  <si>
    <t>Max 100</t>
  </si>
  <si>
    <t>b. Jumlah posyandu yang melaksanakan kegiatan / pelayanan sebulan sekali</t>
  </si>
  <si>
    <t>Posyandu_1bln</t>
  </si>
  <si>
    <t>Max Jlh Posyandu</t>
  </si>
  <si>
    <t>S 316.a</t>
  </si>
  <si>
    <t>c. Jumlah posyandu yang melaksanakan kegiatan / pelayanan 2 bulan sekali atau lebih</t>
  </si>
  <si>
    <t>Posyandu_2bln</t>
  </si>
  <si>
    <t>d. Mayoritas warga Desa berpartisipasi aktif dalam kegiatan Posyandu</t>
  </si>
  <si>
    <t>Partisipasi_posyandu</t>
  </si>
  <si>
    <t>e. Sumber Dana Pembiayaan Kegiatan Posyandu</t>
  </si>
  <si>
    <t>Biaya_posyandu</t>
  </si>
  <si>
    <t>S 316.d</t>
  </si>
  <si>
    <t>Tingkat Kepesertaan BPJS/ JKN/ KIS</t>
  </si>
  <si>
    <t>a. Jumlah warga yang terdaftar menjadi peserta BPJS Kesehatan/ Jaminan Kesehatan Nasional/ Kartu Indonesia Sehat (KIS)</t>
  </si>
  <si>
    <t>Warga_BPJS/JKN/KIS</t>
  </si>
  <si>
    <t>Skor Penduduk BPJS</t>
  </si>
  <si>
    <t>max total penduduk</t>
  </si>
  <si>
    <t>b. Warga Desa memanfaatkan pelayanan BPJS/JKN/KIS</t>
  </si>
  <si>
    <t>Pemanfaatan_BPJS/JKN/KIS</t>
  </si>
  <si>
    <t>S 317.a</t>
  </si>
  <si>
    <t>KONVERGENSI LAYANAN STUNTING DESA</t>
  </si>
  <si>
    <t>Template</t>
  </si>
  <si>
    <t>Data Sasaran</t>
  </si>
  <si>
    <t>a. Total Remaja Putri</t>
  </si>
  <si>
    <t>Total_Remaja_Putri</t>
  </si>
  <si>
    <t>b. Remaja Putri Status Gizi Normal di desa</t>
  </si>
  <si>
    <t>Remaja_Putri_Status_Gizi_Normal_di_desa</t>
  </si>
  <si>
    <t>c. Remaja Putri Status Anemia (Hb) di desa</t>
  </si>
  <si>
    <t>Remaja_Putri_Status_Anemia_(Hb)_di_desa</t>
  </si>
  <si>
    <t>Total Calon Pengantin dan calon Pasangan usia Subur di desa</t>
  </si>
  <si>
    <t>Total_Calon_Pengantin_dan_calon_Pasangan_usia_Subur_di_desa</t>
  </si>
  <si>
    <t>Pasang</t>
  </si>
  <si>
    <t>a. Total Ibu Hamil</t>
  </si>
  <si>
    <t>Total_Ibu_Hamil</t>
  </si>
  <si>
    <r>
      <t xml:space="preserve">b. Jumlah Kondisi Ibu Hamil Kondisi </t>
    </r>
    <r>
      <rPr>
        <b/>
        <sz val="8"/>
        <color rgb="FF000000"/>
        <rFont val="Tahoma"/>
      </rPr>
      <t>Normal</t>
    </r>
  </si>
  <si>
    <t>Kondisi_Ibu_Hamil_Kondisi_Normal</t>
  </si>
  <si>
    <r>
      <t xml:space="preserve">c. Jumlah Kondisi Ibu Hamil Kondisi Kesesahan </t>
    </r>
    <r>
      <rPr>
        <b/>
        <sz val="8"/>
        <color rgb="FF000000"/>
        <rFont val="Tahoma"/>
      </rPr>
      <t>KEK</t>
    </r>
  </si>
  <si>
    <t>Kondisi_Ibu_Hamil_Kondisi_Kesesahan_KEK</t>
  </si>
  <si>
    <t>a. Jumlah Bayi Usia 0-59 Bulan</t>
  </si>
  <si>
    <t>Jumlah_Bayi_Usia_0-59_Bulan</t>
  </si>
  <si>
    <t>Anak</t>
  </si>
  <si>
    <t>b. Jumlah Bayi Usia 0-59 Bulan Status Gizi Normal</t>
  </si>
  <si>
    <t>Jumlah_Bayi_Usia_0-59_Bulan_Status_Gizi_Normal</t>
  </si>
  <si>
    <t>c. Jumlah Bayi Usia 0-59 Bulan Status Gizi Kurang</t>
  </si>
  <si>
    <t>Jumlah_Bayi_Usia_0-59_Bulan_Status_Gizi_Kurang</t>
  </si>
  <si>
    <t>d. Jumlah Bayi Usia 0-59 Bulan Status Gizi Buruk</t>
  </si>
  <si>
    <t>d._Jumlah_Bayi_Usia_0-59_Bulan_Status_Gizi_Buruk</t>
  </si>
  <si>
    <t>e. Jumlah Bayi Usia 0-59 Bulan Status Stunting</t>
  </si>
  <si>
    <t>e._Jumlah_Bayi_Usia_0-59_Bulan_Status_Stunting</t>
  </si>
  <si>
    <t>a. Total Keluarga Beresiko Stunting dan Keluarga rentan</t>
  </si>
  <si>
    <t>Total_Keluarga_Beresiko_Stunting_dan_Keluarga_rentan</t>
  </si>
  <si>
    <t>b. Jumlah Keluarga Kategori Rentan</t>
  </si>
  <si>
    <t>Jumlah_Keluarga_Kategori_Rentan</t>
  </si>
  <si>
    <t>Data Cakupan Layanan</t>
  </si>
  <si>
    <t>a. Jumlah Remaja Putri Ikut Pemeriksaan Anemia (Hb)</t>
  </si>
  <si>
    <t>Jumlah_Remaja_Putri_Ikut_Pemeriksaan_Anemia_(Hb)</t>
  </si>
  <si>
    <t>b. Jumlah Remaja Putri Mendapat Tablet Tambah Darah (TTB)</t>
  </si>
  <si>
    <t>Jumlah_Remaja_Putri_Mendapat_Tablet_Tambah_Darah_(TTB)</t>
  </si>
  <si>
    <t>a. Jumlah Calon Pengantin Periksa Kesehatan</t>
  </si>
  <si>
    <t>Jumlah_Calon_Pengantin_Periksa_Kesehatan</t>
  </si>
  <si>
    <t>b. Jumlah Calon Pengantin Mengikuti Bimbingan Persiapan Perkawinan</t>
  </si>
  <si>
    <t>Jumlah_Calon_Pengantin_Mengikuti_Bimbingan_Persiapan_Perkawinan</t>
  </si>
  <si>
    <t>a. Jumlah Ibu Hamil Periksa Kehamilan/Nifas</t>
  </si>
  <si>
    <t>Jumlah_Ibu_Hamil_Periksa_Kehamilan/Nifas</t>
  </si>
  <si>
    <t>b. Jumlah Ibu Hamil Peserta Keluarga Berencana (KB) Paksa Persalinan</t>
  </si>
  <si>
    <t>Jumlah_Ibu_Hamil_Peserta_Keluarga_Berencana_(KB)_Paksa_Persalinan</t>
  </si>
  <si>
    <t>c. Jumlah Ibu Hamil KEK mendapatkan Tambahan Asupan Gizi</t>
  </si>
  <si>
    <t>Jumlah_Ibu_Hamil_KEK_mendapatkan_Tambahan_Asupan_Gizi</t>
  </si>
  <si>
    <t>d. Jumlah Ibu Hamil mengkonsumsi tablet tambah darah (TTD) (minimal 90 tablet selama masa kehamilan)</t>
  </si>
  <si>
    <t>d._Jumlah_Ibu_Hamil_mengkonsumsi_tablet_tambah_darah_(TTD)_(minimal_90_tablet_selama_masa_kehamilan)</t>
  </si>
  <si>
    <t>a. Jumlah Anak usia 0-59 Bulan terpantau tumbuh kembang (datang ke posyandu/layanan kesehatan lainnya)</t>
  </si>
  <si>
    <t>Jumlah_Anak_usia_0-59_Bulan_terpantau_tumbuh_kembang_(datang_ke_posyandu/layanan_kesehatan_lainnya)</t>
  </si>
  <si>
    <t>b. Jumlah anak usia 0-59 bulan mengikuti kegiatan BKB/PAUD</t>
  </si>
  <si>
    <t>Jumlah_anak_usia_0-59_bulan_mengikuti_kegiatan_BKB/PAUD</t>
  </si>
  <si>
    <t>c. Jumlah Anak usia 0-59 Bulan mengalami gizi kurang/buruk/stunting mendapatkan tambahan asupan gizi dan konseling gizi</t>
  </si>
  <si>
    <t>Jumlah_Anak_usia_0-59_Bulan_mengalami_gizi_kurang/buruk/stunting_mendapatkan_tambahan_asupan_gizi_dan_konseling_gizi</t>
  </si>
  <si>
    <t>d. Jumlah Anak usia 0-59 bulan mendapatkan imunisasi dasar lengkap</t>
  </si>
  <si>
    <t>d._Jumlah_Anak_usia_0-59_bulan_mendapatkan_imunisasi_dasar_lengkap</t>
  </si>
  <si>
    <t>a. Jumlah Keluarga beresiko stunting dan keluarga rentan memiliki kartu keluarga</t>
  </si>
  <si>
    <t>Jumlah_Keluarga_beresiko_stunting_dan_keluarga_rentan_memiliki_kartu_keluarga</t>
  </si>
  <si>
    <t>b. Jumlah Keluarga beresiko stunting dan keluarga rentan memiliki akses ke sumber air bersih/minum</t>
  </si>
  <si>
    <t>Jumlah_Keluarga_beresiko_stunting_dan_keluarga_rentan_memiliki_akses_ke_sumber_air_bersih/minum</t>
  </si>
  <si>
    <t>c. Jumlah Keluarga beresiko stunting dan keluarga rentan memiliki akses ke jamban sehat.</t>
  </si>
  <si>
    <t>Jumlah_Keluarga_beresiko_stunting_dan_keluarga_rentan_memiliki_akses_ke_jamban_sehat.</t>
  </si>
  <si>
    <t>d. Jumlah Keluarga beresiko stunting dan keluarga rentan memiliki kepesertaan jaminan kesehatan (mandiri/subsidi)</t>
  </si>
  <si>
    <t>d._Jumlah_Keluarga_beresiko_stunting_dan_keluarga_rentan_memiliki_kepesertaan_jaminan_kesehatan_(mandiri/subsidi)</t>
  </si>
  <si>
    <t>e. Jumlah Keluarga rentan (sosial/ekonomi/difabel) terdaftar sebagai peserta program bantuan sosial (PKH/BLT-DD/Program sejenis)</t>
  </si>
  <si>
    <t>e._Jumlah_Keluarga_rentan_(sosial/ekonomi/difabel)_terdaftar_sebagai_peserta_program_bantuan_sosial_(PKH/BLT-DD/Program_sejenis)</t>
  </si>
  <si>
    <t>f. Jumlah Keluarga beresiko stunting dan keluarga rentan memiliki akses sanitasi/pembuangan limbah layak</t>
  </si>
  <si>
    <t>f._Jumlah_Keluarga_beresiko_stunting_dan_keluarga_rentan_memiliki_akses_sanitasi/pembuangan_limbah_layak</t>
  </si>
  <si>
    <t>g. Jumlah Keluarga beresiko stunting mendapat pendampingan oleh TPK</t>
  </si>
  <si>
    <t>g._Jumlah_Keluarga_beresiko_stunting_mendapat_pendampingan_oleh_TPK</t>
  </si>
  <si>
    <t>h. Jumlah Keluarga beresiko Stunting menjadi peserta kegiatan ketahanan pangan keluarga/pemanfaatan lahan pekarangan untuk peningkatan asupan gizi</t>
  </si>
  <si>
    <t>h._Jumlah_Keluarga_beresiko_Stunting_menjadi_peserta_kegiatan_ketahanan_pangan_keluarga/pemanfaatan_lahan_pekarangan_untuk_peningkatan_asupan_gizi</t>
  </si>
  <si>
    <t>Konvergensi Layanan (Cakupan Layanan)</t>
  </si>
  <si>
    <t>a. Total Layanan Remaja Putri</t>
  </si>
  <si>
    <t>Total_Layanan_Remaja_Putri</t>
  </si>
  <si>
    <t>Layanan</t>
  </si>
  <si>
    <t>b. Total Layanan Remaja Putri diterima</t>
  </si>
  <si>
    <t>Total_Layanan_Remaja_Putri_diterima</t>
  </si>
  <si>
    <t>a. Total Layanan Calon Pengantin dan calon pasangan usia subur</t>
  </si>
  <si>
    <t>Total_Layanan_Calon_Pengantin_dan_calon_pasangan_usia_subur</t>
  </si>
  <si>
    <t>b. Total Layanan Calon Pengantin dan calon pasangan usia subur diterima</t>
  </si>
  <si>
    <t>Total_Layanan_Calon_Pengantin_dan_calon_pasangan_usia_subur_diterima</t>
  </si>
  <si>
    <t>a. Total Layanan Ibu Hamil dan ibu hamil KEK</t>
  </si>
  <si>
    <t>Total_Layanan_Ibu_Hamil_dan_ibu_hamil_KEK</t>
  </si>
  <si>
    <t>b. Total Layanan Ibu Hamil dan ibu hamil KEK diterima</t>
  </si>
  <si>
    <t>Total_Layanan_Ibu_Hamil_dan_ibu_hamil_KEK_diterima</t>
  </si>
  <si>
    <t>a. Total Layanan Anak (0-59 bulan)</t>
  </si>
  <si>
    <t>Total_Layanan_Anak_(0-59_bulan)</t>
  </si>
  <si>
    <t>b. Total Layanan Anak (0-59 bulan) diterima</t>
  </si>
  <si>
    <t>Total_Layanan_Anak_(0-59_bulan)_diterima</t>
  </si>
  <si>
    <t>a. Total Layanan Keluarga memiliki sasaran stunting dan keluarga beresiko stunting</t>
  </si>
  <si>
    <t>Total_Layanan_Keluarga_memiliki_sasaran_stunting_dan_keluarga_beresiko_stunting</t>
  </si>
  <si>
    <t>b. Total Layanan Keluarga memiliki sasaran stunting dan keluarga beresiko stunting diterima</t>
  </si>
  <si>
    <t>Total_Layanan_Keluarga_memiliki_sasaran_stunting_dan_keluarga_beresiko_stunting_diterima</t>
  </si>
  <si>
    <t>a. Total Layanan Konvergensi Stunting di Desa</t>
  </si>
  <si>
    <t>Total_Layanan_Desa</t>
  </si>
  <si>
    <t>b. Total Layanan Konvergensi Stunting yang diterima di Desa</t>
  </si>
  <si>
    <t>Total_Layanan_Desa_diterima</t>
  </si>
  <si>
    <t>Fasilitasi Desa</t>
  </si>
  <si>
    <t>Desa Melaksanakan rembuk stunting desa dengan melibatkan UPTD</t>
  </si>
  <si>
    <t>Desa_Melaksanakan_rembuk_stunting_desa_dengan_melibatkan_UPTD</t>
  </si>
  <si>
    <t>Terdapat Penetapan anggaran  kegiatan stunting dalam APB Desa</t>
  </si>
  <si>
    <t>Terdapat_Penetapan_anggaran__kegiatan_stunting_dalam_APB_Desa</t>
  </si>
  <si>
    <t>Jumlah alokasi anggaran untuk mendukung kegiatan stunting</t>
  </si>
  <si>
    <t>Jumlah_alokasi_anggaran_untuk_mendukung_kegiatan_stunting</t>
  </si>
  <si>
    <t>Rp</t>
  </si>
  <si>
    <t>Terdapat Pembentukan RDS/TPPS</t>
  </si>
  <si>
    <t>Terdapat_Pembentukan_RDS/TPPS</t>
  </si>
  <si>
    <t>Terdapat Pelaku Desa (Kader, KPM, TPK) mendapatkan peningkatan kapasitas</t>
  </si>
  <si>
    <t>Terdapat_Pelaku_Desa_(Kader,_KPM,_TPK)_mendapatkan_peningkatan_kapasitas</t>
  </si>
  <si>
    <t xml:space="preserve">Aktivitas rutin Penyelenggaraan posyandu </t>
  </si>
  <si>
    <t>Aktivitas_rutin_Penyelenggaraan_posyandu_</t>
  </si>
  <si>
    <t>Rutin Tiap Bulan</t>
  </si>
  <si>
    <t xml:space="preserve">Aktivitas rutin Penyelenggaraan kelas Bina Keluarga Balita </t>
  </si>
  <si>
    <t>Aktivitas_rutin_Penyelenggaraan_kelas_Bina_Keluarga_Balita_</t>
  </si>
  <si>
    <t>Aktivitas rutin Penyelenggaraan PAUD</t>
  </si>
  <si>
    <t>Aktivitas_rutin_Penyelenggaraan_PAUD</t>
  </si>
  <si>
    <t>Terdapat Pengembangan Program Ketahanan Pangan</t>
  </si>
  <si>
    <t>Terdapat_Pengembangan_Program_Ketahanan_Pangan</t>
  </si>
  <si>
    <t>RDS/TPPS mengadakan rapat koordinasi</t>
  </si>
  <si>
    <t>RDS/TPPS_mengadakan_rapat_koordinasi</t>
  </si>
  <si>
    <t>Desa melakukan monitoring/evaluasi atas pelaksanaan konvergensi stunting min. 2 kali dlm 1tahun</t>
  </si>
  <si>
    <t>Desa_melakukan_monitoring/evaluasi_atas_pelaksanaan_konvergensi_stunting_min._2_kali_dlm_1tahun</t>
  </si>
  <si>
    <t>Kendala yang dihadapi (Jelaskan)</t>
  </si>
  <si>
    <t>Kendala_yang_dihadapi_(Jelaskan)</t>
  </si>
  <si>
    <t>Ibu baduta kurang perhatian terhadap gizi anaknya</t>
  </si>
  <si>
    <t>PENDIDIKAN</t>
  </si>
  <si>
    <t>Akses Ke Pendidikan Dasar dan Menengah</t>
  </si>
  <si>
    <t>a. Jumlah SD /MI di Desa</t>
  </si>
  <si>
    <t>Jumlah_SD</t>
  </si>
  <si>
    <t>max 20</t>
  </si>
  <si>
    <t>b. Jumlah tenaga pengajar di SD / MI</t>
  </si>
  <si>
    <t>Jumlah_guruSD</t>
  </si>
  <si>
    <t>c. Jarak ke SD / MI terdekat</t>
  </si>
  <si>
    <t>Jarak_SD</t>
  </si>
  <si>
    <t>Skor Akses SD</t>
  </si>
  <si>
    <t>max 250rb</t>
  </si>
  <si>
    <t>d. Waktu tempuh untuk menuju ke SD / MI terdekat</t>
  </si>
  <si>
    <t>Menit_SD</t>
  </si>
  <si>
    <t>max180</t>
  </si>
  <si>
    <t>e. Rata-rata lama Pendidikan Sekolah Dasar SD /MI di Desa</t>
  </si>
  <si>
    <t>Rata_lama_Pendidikan_SD</t>
  </si>
  <si>
    <t>Tahun</t>
  </si>
  <si>
    <t>a. Jumlah SMP / MTs di Desa</t>
  </si>
  <si>
    <t>Jumlah_SMP</t>
  </si>
  <si>
    <t>b. Jumlah tenaga pengajar di SMP/MTs</t>
  </si>
  <si>
    <t>Jumlah_guruSMP</t>
  </si>
  <si>
    <t>c. Jarak ke SMP / MTs terdekat</t>
  </si>
  <si>
    <t>Jarak_SMP</t>
  </si>
  <si>
    <t>d. Waktu tempuh untuk menuju ke SMP / MTs terdekat</t>
  </si>
  <si>
    <t>Menit_SMP</t>
  </si>
  <si>
    <t>max 360</t>
  </si>
  <si>
    <t>e. Rata-rata lama Pendidikan SMP / MTs di Desa</t>
  </si>
  <si>
    <t>Rata_lama_Pendidikan_SMP</t>
  </si>
  <si>
    <t>max 7</t>
  </si>
  <si>
    <t>a. Jumlah SMU / MA/ SMK di Desa</t>
  </si>
  <si>
    <t>Jumlah_SMU</t>
  </si>
  <si>
    <t>b. Jumlah tenaga pengajar di SMU / MA/ SMK</t>
  </si>
  <si>
    <t>Jumlah_guruSMU</t>
  </si>
  <si>
    <t>c. Jarak ke SMU / MA / SMK  terdekat</t>
  </si>
  <si>
    <t>Jarak_SMU</t>
  </si>
  <si>
    <t>d. Waktu tempuh untuk menuju ke SMU / MA / SMK terdekat</t>
  </si>
  <si>
    <t>Menit_SMU</t>
  </si>
  <si>
    <t>max 480</t>
  </si>
  <si>
    <t>e. Rata-rata lama Pendidikan SMU / MA/ SMK di Desa</t>
  </si>
  <si>
    <t>Rata_lama_Pendidikan_SMU/SMK</t>
  </si>
  <si>
    <t>Total Rata-rata Sekolah SD-SMP-SMU/Sederajat</t>
  </si>
  <si>
    <t>Rata_Sekolah_SD_sd_SMU/Sederajat</t>
  </si>
  <si>
    <t>Pendidikan Kebutuhan Khsuus</t>
  </si>
  <si>
    <t>a1. Jumlah Penyandang Kebutuhan Khusus Tunagrahita Usia &lt;20 Tahun Masih Sekolah</t>
  </si>
  <si>
    <t>Tunagrahita_&gt;20Thn_Sklh</t>
  </si>
  <si>
    <t>max 250</t>
  </si>
  <si>
    <t>a2. Jumlah Penyandang Kebutuhan Khusus Tunagrahita Usia &lt;20 Tahun Tidak Sekolah</t>
  </si>
  <si>
    <t>Tunagrahita_&gt;20Thn_Tdk_Sklh</t>
  </si>
  <si>
    <t>b1. Jumlah Penyandang Kebutuhan Khusus Tunanetra Usia &lt;20 Tahun Masih Sekolah</t>
  </si>
  <si>
    <t>Tunanetra_&gt;20Thn_Sklh</t>
  </si>
  <si>
    <t>b1. Jumlah Penyandang Kebutuhan Khusus Tunanetra Usia &lt;20 Tahun Tidak Sekolah</t>
  </si>
  <si>
    <t>Tunanetra_&gt;20Thn_Tdk_Sklh</t>
  </si>
  <si>
    <t>c1. Jumlah Penyandang Kebutuhan Khusus Tunarungu Usia &lt;20 Tahun Masih Sekolah</t>
  </si>
  <si>
    <t>Tunarungu_&gt;20Thn_Sklh</t>
  </si>
  <si>
    <t>c2. Jumlah Penyandang Kebutuhan Khusus Tunarungu Usia &lt;20 Tahun Tidak Sekolah</t>
  </si>
  <si>
    <t>Tunarungu_&gt;20Thn_Tdk_Sklh</t>
  </si>
  <si>
    <t>d1. Jumlah Penyandang Kebutuhan Khusus Tunalaras Usia &lt;20 Tahun Masih Sekolah</t>
  </si>
  <si>
    <t>Tunalaras_&gt;20Thn_Sklh</t>
  </si>
  <si>
    <t>d2. Jumlah Penyandang Kebutuhan Khusus Tunalaras Usia &lt;20 Tahun Tidak Sekolah</t>
  </si>
  <si>
    <t>Tunalaras_&gt;20Thn_Tdk_Sklh</t>
  </si>
  <si>
    <t>e1. Jumlah Penyandang Kebutuhan Khusus Tunadaksa Usia &lt;20 Tahun Masih Sekolah</t>
  </si>
  <si>
    <t>Tunadaksa_&gt;20Thn_Sklh</t>
  </si>
  <si>
    <t>e2. Jumlah Penyandang Kebutuhan Khusus Tunadaksa Usia &lt;20 Tahun Tidak Sekolah</t>
  </si>
  <si>
    <t>Tunadaksa_&gt;20Thn_Tdk_Sklh</t>
  </si>
  <si>
    <t>Data Tingkat Pendidikan</t>
  </si>
  <si>
    <t>Tingkat pendidikan sebagian besar penduduk Desa</t>
  </si>
  <si>
    <t>Ed_pend</t>
  </si>
  <si>
    <t>a. Terdapat anak usia SD yang putus atau tidak sekolah di Desa</t>
  </si>
  <si>
    <t>SD_tdk_sklh</t>
  </si>
  <si>
    <t>b. Jumlah anak usia SD yang putus atau tidak sekolah di Desa</t>
  </si>
  <si>
    <t>SD_tdk_sklh_jml</t>
  </si>
  <si>
    <t>max usia 7-12 tahun</t>
  </si>
  <si>
    <t>S 352.a</t>
  </si>
  <si>
    <t>a. Terdapat anak usia SMP yang putus atau tidak sekolah di Desa</t>
  </si>
  <si>
    <t>SMP_tdk_sklh</t>
  </si>
  <si>
    <t>b. Jumlah anak usia SMP yang putus atau tidak sekolah</t>
  </si>
  <si>
    <t>SMP_tdk_sklh_jml</t>
  </si>
  <si>
    <t>max usia 13-15 tahun</t>
  </si>
  <si>
    <t>S 353.a</t>
  </si>
  <si>
    <t>Akses Ke Pendidikan Non-Formal Usia 3-5 tahun</t>
  </si>
  <si>
    <t>a. Ketersediaan Pos PAUD di Desa</t>
  </si>
  <si>
    <t>PAUD</t>
  </si>
  <si>
    <t>b. Jumlah Pos PAUD Pemerintah</t>
  </si>
  <si>
    <t>Jumlah_PAUD_PMR</t>
  </si>
  <si>
    <t>max 30</t>
  </si>
  <si>
    <t>S 354.a</t>
  </si>
  <si>
    <t>c. Jumlah Pos PAUD Non Pemerintah</t>
  </si>
  <si>
    <t>Jumlah_PAUD_NONPMR</t>
  </si>
  <si>
    <t>d. Jarak ke Pos PAUD terdekat</t>
  </si>
  <si>
    <t>Jarak_PAUD</t>
  </si>
  <si>
    <t>max 20rb</t>
  </si>
  <si>
    <t>e. Waktu tempuh untuk menuju ke PAUD terdekat</t>
  </si>
  <si>
    <t>Waktu_PAUD</t>
  </si>
  <si>
    <t>max 120</t>
  </si>
  <si>
    <t>Akses Ke Pendidikan Formal Usia 5-7 tahun</t>
  </si>
  <si>
    <t>f. Desa Terdapat Taman Kanak-kanak (TK)</t>
  </si>
  <si>
    <t>TK</t>
  </si>
  <si>
    <t xml:space="preserve">g. Jarak Taman Kanak-kanak (TK) Terdekat </t>
  </si>
  <si>
    <t>Jarak_TK</t>
  </si>
  <si>
    <t>h. Desa Terdapat Raudhatul Athfal (RA)</t>
  </si>
  <si>
    <t>RA</t>
  </si>
  <si>
    <t xml:space="preserve">i. Jarak Raudhatul Athfal (RA) Terdekat </t>
  </si>
  <si>
    <t>Jarak_RA</t>
  </si>
  <si>
    <t>j. Desa Terdapat Bustanul Athfal (BA)</t>
  </si>
  <si>
    <t>BA</t>
  </si>
  <si>
    <t xml:space="preserve">k. Jarak Bustanul Athfal (BA) Terdekat </t>
  </si>
  <si>
    <t>Jarak_BA</t>
  </si>
  <si>
    <t>l. Jumlah guru PAUD</t>
  </si>
  <si>
    <t>Guru_PAUD</t>
  </si>
  <si>
    <t>m. Jumlah guru TK</t>
  </si>
  <si>
    <t>Guru_TK</t>
  </si>
  <si>
    <t>n. Jumlah guru RA</t>
  </si>
  <si>
    <t>Guru_RA</t>
  </si>
  <si>
    <t>0. Jumlah guru BA</t>
  </si>
  <si>
    <t>Guru_BA</t>
  </si>
  <si>
    <t>p. Total Pos PAUD di Desa</t>
  </si>
  <si>
    <t>Total_PAUD_Desa</t>
  </si>
  <si>
    <t>Skor Paud</t>
  </si>
  <si>
    <t>Ketersediaan Pusat Kegiatan Belajar Masyarakat Kejar Paket A, B, dan C di Desa</t>
  </si>
  <si>
    <t>PKBM</t>
  </si>
  <si>
    <t>Skor PKBM</t>
  </si>
  <si>
    <t>a. Jumlah pusat kursus atau pusat pelatihan keterampilan khusus di Desa</t>
  </si>
  <si>
    <t>Jml_kursus</t>
  </si>
  <si>
    <t>Skor Khursus</t>
  </si>
  <si>
    <t>b. Jarak tempuh menuju pusat kursus atau pusat pelatihan keterampilan khusus ke terdekat</t>
  </si>
  <si>
    <t>Jarak_kursus</t>
  </si>
  <si>
    <t>Terdapat Kegiatan Pemberatasan Buta Aksara</t>
  </si>
  <si>
    <t>Buta_Aksara</t>
  </si>
  <si>
    <t>Akses Pengetahuan</t>
  </si>
  <si>
    <t>a.  Ketersediaan fasilitas perpustakaan Desa / taman bacaan masyarakat di Desa</t>
  </si>
  <si>
    <t>TBM</t>
  </si>
  <si>
    <t>Skor Taman Baca</t>
  </si>
  <si>
    <t>b.  Pemanfaatan fasilitas perpustakaan Desa / taman bacaan masyarakat</t>
  </si>
  <si>
    <t>Pemanfaatan_TBM</t>
  </si>
  <si>
    <t>Modal Sosial</t>
  </si>
  <si>
    <t>a. Kebiasaan gotong royong warga di Desa</t>
  </si>
  <si>
    <t>GotongRoyong</t>
  </si>
  <si>
    <t>Skor Kebiasaan Gotong Royong</t>
  </si>
  <si>
    <t>b. Frekuensi kegiatan gotong royong</t>
  </si>
  <si>
    <t>Fr_GotongRoyong</t>
  </si>
  <si>
    <t>Kali/ Tahun</t>
  </si>
  <si>
    <t>Skor Aktivitas  Gotong Royong</t>
  </si>
  <si>
    <t>Max 24</t>
  </si>
  <si>
    <t>S 360.a</t>
  </si>
  <si>
    <t>a. Ketersediaan ruang publik terbuka bagi warga tanpa perlu membayar</t>
  </si>
  <si>
    <t>RPublik</t>
  </si>
  <si>
    <t>Skor Ruang Publik</t>
  </si>
  <si>
    <t>b. Kondisi Ruang Terbuka Publik</t>
  </si>
  <si>
    <t>Kondisi_Rpublik</t>
  </si>
  <si>
    <t>S 361.a</t>
  </si>
  <si>
    <t>a. Karang Taruna</t>
  </si>
  <si>
    <t>KarangTaruna</t>
  </si>
  <si>
    <t>KarangTaruna_frek</t>
  </si>
  <si>
    <t>S 362.a</t>
  </si>
  <si>
    <t>b. PKK</t>
  </si>
  <si>
    <t>PKK</t>
  </si>
  <si>
    <t>PKK_frek</t>
  </si>
  <si>
    <t>S 362.b</t>
  </si>
  <si>
    <t>c. Perkumpulan agama</t>
  </si>
  <si>
    <t>Org_agm</t>
  </si>
  <si>
    <t>Org_agm_frek</t>
  </si>
  <si>
    <t>S 362.c</t>
  </si>
  <si>
    <t>d. Panti asuhan</t>
  </si>
  <si>
    <t>Panti</t>
  </si>
  <si>
    <t>Panti_frek</t>
  </si>
  <si>
    <t>S 362.d</t>
  </si>
  <si>
    <t>e. Kelompok arisan</t>
  </si>
  <si>
    <t>Arisan</t>
  </si>
  <si>
    <t>Arisan_frek</t>
  </si>
  <si>
    <t>S 362.e</t>
  </si>
  <si>
    <t>f. Kelompok/ organisasi/lembaga tani</t>
  </si>
  <si>
    <t>Lemb_tani</t>
  </si>
  <si>
    <t>Lemb_tani_frek</t>
  </si>
  <si>
    <t>S 362.f</t>
  </si>
  <si>
    <t>g. Kelompok/ organisasi/lembaga nelayan</t>
  </si>
  <si>
    <t>Lemb_nelayan</t>
  </si>
  <si>
    <t>Lemb_nelayan_frek</t>
  </si>
  <si>
    <t>S 362.g</t>
  </si>
  <si>
    <t>h. Kelompok/ organisasi/lembaga usaha ternak</t>
  </si>
  <si>
    <t>Lemb_usternak</t>
  </si>
  <si>
    <t>Lemb_usternak_frek</t>
  </si>
  <si>
    <t>S 362.h</t>
  </si>
  <si>
    <t>i. Kelompok/ organisasi/lembaga pengrajin</t>
  </si>
  <si>
    <t>Lemb_pengrajin</t>
  </si>
  <si>
    <t>Lemb_pengrajin_frek</t>
  </si>
  <si>
    <t>S 362.i</t>
  </si>
  <si>
    <t>j. Kelompok/ organisasi/lembaga khusus wanita</t>
  </si>
  <si>
    <t>Lemb_wanita</t>
  </si>
  <si>
    <t>Lemb_wanita_frek</t>
  </si>
  <si>
    <t>S 362.j</t>
  </si>
  <si>
    <t>k. Kelompok/ organisasi/lembaga lainnya</t>
  </si>
  <si>
    <t>Lemb_lain</t>
  </si>
  <si>
    <t>Lemb_lain_ sebutkan</t>
  </si>
  <si>
    <t>0rganisasi Pemuda Pua Janggo</t>
  </si>
  <si>
    <t>Lemb_lain_frek</t>
  </si>
  <si>
    <t>S 362.k</t>
  </si>
  <si>
    <t>a. Warga Desa mengikuti Musyawarah Desa</t>
  </si>
  <si>
    <t>Partispasi_musdes</t>
  </si>
  <si>
    <t>b. Jumlah warga desa mengikuti Musyawarah desa</t>
  </si>
  <si>
    <t>Jlh_Warga_Ikut_Musdes</t>
  </si>
  <si>
    <t>S 363.a</t>
  </si>
  <si>
    <t>c. Frekuensi musyawarah Desa selama setahun terakhir</t>
  </si>
  <si>
    <t>Frek_musdes</t>
  </si>
  <si>
    <t>d. Terdapat Kelompok perempuan mengikuti Musyawarah Desa</t>
  </si>
  <si>
    <t>Perempuan_musdes</t>
  </si>
  <si>
    <t>e. Jumlah Perempuan yang mengikuti Musyawarah Desa</t>
  </si>
  <si>
    <t>Jlh_Perempuan_Ikut_MusDes</t>
  </si>
  <si>
    <t xml:space="preserve"> max 500</t>
  </si>
  <si>
    <t>S 363.d</t>
  </si>
  <si>
    <t>Bukti Absensi, Notulen terkait Peserta Rapat (Evidence) Musyawarah Desa</t>
  </si>
  <si>
    <t>Bukti_Absen_Musdes</t>
  </si>
  <si>
    <t>Unggah File</t>
  </si>
  <si>
    <t>7302032005-bukti-musdes_2024.pdf</t>
  </si>
  <si>
    <t>Jumlah Gagasan atau usulan peserta perempuan dalam musyawarah perencanaan pembangunan Desa MUSDES</t>
  </si>
  <si>
    <t>Jumlah_Gagasan_Peserta_Perempuan_Musdes</t>
  </si>
  <si>
    <t>Gagasan/ Usulan</t>
  </si>
  <si>
    <t>a. Total fasilitas / lapangan olah raga di Desa</t>
  </si>
  <si>
    <t>Total_Lap</t>
  </si>
  <si>
    <t>Fasilitas/ Lapangan</t>
  </si>
  <si>
    <t>Skor Keg OR</t>
  </si>
  <si>
    <t>a1. Jumlah Fasilitas/ Lapangan Sepak Bola</t>
  </si>
  <si>
    <t>Jml_Lap_Sepak_Bola</t>
  </si>
  <si>
    <t>max 5</t>
  </si>
  <si>
    <t>a2. Jumlah Fasilitas/ Lapangan Futsal</t>
  </si>
  <si>
    <t>Jml_Lap_Futsal</t>
  </si>
  <si>
    <t>a3. Jumlah Fasilitas/ Lapangan Tenis</t>
  </si>
  <si>
    <t>Jml_Lap_Tenis</t>
  </si>
  <si>
    <t>a4. Jumlah Fasilitas/ Lapangan Bulu Tangkis</t>
  </si>
  <si>
    <t>Jml_Lap_Bulu_Tangkis</t>
  </si>
  <si>
    <t>a5. Jumlah Fasilitas/ Lapangan Basket</t>
  </si>
  <si>
    <t>Jml_Lap_Basket</t>
  </si>
  <si>
    <t>a6. Jumlah Fasilitas/ Lapangan Lainnya</t>
  </si>
  <si>
    <t>Jml_Lap_Lainnya</t>
  </si>
  <si>
    <t>a6. Sebutkan Fasilitas/ Lapangan Lainnya</t>
  </si>
  <si>
    <t>Lap_Lainnya</t>
  </si>
  <si>
    <t>b. Terdapat kegiatan kelompok olahraga yang rutin</t>
  </si>
  <si>
    <t>Keg_OR</t>
  </si>
  <si>
    <t>c. Jumlah kelompok kegiatan olahraga</t>
  </si>
  <si>
    <t>Jumlah_Kel_OR</t>
  </si>
  <si>
    <t>Skor Kel. Olah Raga</t>
  </si>
  <si>
    <t>S 366.b</t>
  </si>
  <si>
    <t>Warga Desa terdiri dari beberapa suku / etnis</t>
  </si>
  <si>
    <t>Suku</t>
  </si>
  <si>
    <t>Jlh Suku</t>
  </si>
  <si>
    <t>Skor Komunikasi</t>
  </si>
  <si>
    <t>Jumlah Bahasa yang digunakan Warga Desa untuk Komunikasi Sehari-hari di Desa</t>
  </si>
  <si>
    <t>Bahasa</t>
  </si>
  <si>
    <t>Jlh Bahasa</t>
  </si>
  <si>
    <t>Skor Bahasa</t>
  </si>
  <si>
    <t>a. Warga yang menganut agama Islam</t>
  </si>
  <si>
    <t>Islam</t>
  </si>
  <si>
    <t>Skor Agama</t>
  </si>
  <si>
    <t>b. Warga yang menganut agama Kristen</t>
  </si>
  <si>
    <t>Kristen</t>
  </si>
  <si>
    <t>c. Warga yang menganut agama Katolik</t>
  </si>
  <si>
    <t>Katolik</t>
  </si>
  <si>
    <t>d. Warga yang menganut agama Buddha</t>
  </si>
  <si>
    <t>Buddha</t>
  </si>
  <si>
    <t>e. Warga yang menganut agama Hindu</t>
  </si>
  <si>
    <t>Hindu</t>
  </si>
  <si>
    <t>f. Warga yang menganut agama Kong Hu Cu</t>
  </si>
  <si>
    <t>Konghucu</t>
  </si>
  <si>
    <t>g. Warga yang menganut agama lain</t>
  </si>
  <si>
    <t>Agama_Lainnya</t>
  </si>
  <si>
    <t>Agama_Lainnya_sebutkan</t>
  </si>
  <si>
    <t>a. Terdapat Masjid di Desa</t>
  </si>
  <si>
    <t>Masjid</t>
  </si>
  <si>
    <t>b. Terdapat Gereja Kristen di Desa</t>
  </si>
  <si>
    <t>Gereja_Kristen</t>
  </si>
  <si>
    <t>c. Terdapat Gereja Katolik di Desa</t>
  </si>
  <si>
    <t>Gereja_Katolik</t>
  </si>
  <si>
    <t>d. Terdapat Wihara di Desa</t>
  </si>
  <si>
    <t>Wihara</t>
  </si>
  <si>
    <t>e. Terdapat Pura di Desa</t>
  </si>
  <si>
    <t>Pura</t>
  </si>
  <si>
    <t>f. Terdapat Litang / Kelenteng</t>
  </si>
  <si>
    <t>Kelenteng</t>
  </si>
  <si>
    <t>Agama  / kepercayaan mayoritas yang dianut warga Desa</t>
  </si>
  <si>
    <t>Agama_mayoritas</t>
  </si>
  <si>
    <t>S 369</t>
  </si>
  <si>
    <t>a. Terdapat kelompok seni adat dan budaya di Desa</t>
  </si>
  <si>
    <t>Kel_Seni</t>
  </si>
  <si>
    <t>b. Frekuensi kegiatan seni adat dan budaya diselenggarakan dalam setahun terakhir</t>
  </si>
  <si>
    <t>Frek_KegSeni</t>
  </si>
  <si>
    <t>max 24</t>
  </si>
  <si>
    <t>S 372.a</t>
  </si>
  <si>
    <t>c. Jumlah kelompok seni adat dan budaya di Desa</t>
  </si>
  <si>
    <t>Jml_KelSeni</t>
  </si>
  <si>
    <t>max 25</t>
  </si>
  <si>
    <t>a. Mayoritas warga di Desa menghadiri perayaan adat budaya tertentu untuk acara kelahiran</t>
  </si>
  <si>
    <t>Hadir_AdatLahir</t>
  </si>
  <si>
    <t>b. Mayoritas warga di Desa menghadiri perayaan adat budaya tertentu untuk acara kematian</t>
  </si>
  <si>
    <t>Hadir_AdatKematian</t>
  </si>
  <si>
    <t>c. Mayoritas warga di Desa menghadiri perayaan adat budaya tertentu untuk acara perkawinan</t>
  </si>
  <si>
    <t>Hadir_AdatNikah</t>
  </si>
  <si>
    <t>d. Mayoritas warga di Desa menghadiri perayaan adat budaya tertentu untuk acara / hari besar lainnya</t>
  </si>
  <si>
    <t>HariBesar_lain</t>
  </si>
  <si>
    <t>HariBesar_lain_sebutkan</t>
  </si>
  <si>
    <t>Maulid</t>
  </si>
  <si>
    <t>Keamanan Warga</t>
  </si>
  <si>
    <t>Terdapat kegiatan pembangunan dan pemeliharaan pos keamanan lingkungan (Poskamling) oleh warga</t>
  </si>
  <si>
    <t>Poskamling</t>
  </si>
  <si>
    <t>Skor Poskamling</t>
  </si>
  <si>
    <t>Inisiatif dan partisipasi warga dalam pengaktifan sistem keamanan lingkungan (Siskamling)</t>
  </si>
  <si>
    <t>Siskamling_warga</t>
  </si>
  <si>
    <t>a. Terdapat konflik di Desa</t>
  </si>
  <si>
    <t>Konflik</t>
  </si>
  <si>
    <t>Skor Konflik</t>
  </si>
  <si>
    <t>b. Jumlah kejadian Konflik antarkelompok masyarakat</t>
  </si>
  <si>
    <t>Konflik_masy</t>
  </si>
  <si>
    <t>Kasus</t>
  </si>
  <si>
    <t>S 376.a</t>
  </si>
  <si>
    <t>c. Jumlah kejadian Konflik kelompok masyarakat antar Desa</t>
  </si>
  <si>
    <t>Konflik_Desa</t>
  </si>
  <si>
    <t>d. Jumlah kejadian Konflik antara kelompok masyarakat dengan aparat keamanan</t>
  </si>
  <si>
    <t>Konflik_kam</t>
  </si>
  <si>
    <t>e Jumlah kejadian Konflik antara kelompok masyarakat dengan aparat pemerintah</t>
  </si>
  <si>
    <t>Konflik_pemr</t>
  </si>
  <si>
    <t>f. Jumlah kejadian Konflik antarpelajar/ mahasiswa/pemuda</t>
  </si>
  <si>
    <t>Konflik_mhs</t>
  </si>
  <si>
    <t>g. Jumlah kejadian Konflik antarsuku</t>
  </si>
  <si>
    <t>Konflik_suku</t>
  </si>
  <si>
    <t>h. Jumlah kejadian Konflik antaragama</t>
  </si>
  <si>
    <t>Konflik_agm</t>
  </si>
  <si>
    <t>i. Jumlah kejadian Konflik lainnya</t>
  </si>
  <si>
    <t>Konflik_lainnya</t>
  </si>
  <si>
    <t>Konflik_lainnya_sebutkan</t>
  </si>
  <si>
    <t>a. Terdapat Konflik di Desa Terkait Lahan</t>
  </si>
  <si>
    <t>Konflik_Lahan</t>
  </si>
  <si>
    <t>b. Jumlah kejadian Konflik antarkelompok masyarakat terkait lahan dalam 1 tahun terakhir</t>
  </si>
  <si>
    <t>Jlh_konflik_Lahan_AntarKelompok</t>
  </si>
  <si>
    <t>S 377.a</t>
  </si>
  <si>
    <t>c. Jumlah kejadian Konflik kelompok masyarakat antar Desa terkait lahan  dalam 1 tahun terakhir</t>
  </si>
  <si>
    <t>Jlh_konflik_Lahan_kel_Masyarakat</t>
  </si>
  <si>
    <t>d. Jumlah kejadian Konflik antara kelompok masyarakat dengan aparat keamanan terkait lahan  dalam 1 tahun terakhir</t>
  </si>
  <si>
    <t>Jlh_konflik_Lahan_kel_Masyarakat_dengan_Aparat_Keamanan</t>
  </si>
  <si>
    <t>e Jumlah kejadian Konflik antara kelompok masyarakat dengan aparat pemerintah terkait lahan  dalam 1 tahun terakhir</t>
  </si>
  <si>
    <t>Jlh_konflik_Lahan_kel_Masyarakat_dengan_Aparat_Pemerintah</t>
  </si>
  <si>
    <t>f. Jumlah kejadian Konflik antara kelompok masyarakat dengan pihak lainnya terkait lahan  dalam 1 tahun terakhir</t>
  </si>
  <si>
    <t>Jlh_konflik_Lahan_kel_Masyarakat_dengan_Pihak_Lain</t>
  </si>
  <si>
    <t>a. Penyelesaian Konflik secara damai</t>
  </si>
  <si>
    <t>Damai</t>
  </si>
  <si>
    <t>b. Peranan aparat keamanan menjadi mediator / penengah dalam penyelesaian Konflik massal</t>
  </si>
  <si>
    <t>Damai_kam</t>
  </si>
  <si>
    <t>S 378.a</t>
  </si>
  <si>
    <t>c. Peranan aparat pemerintah menjadi mediator / penengah dalam penyelesaian Konflik massal</t>
  </si>
  <si>
    <t>Damai_pemr</t>
  </si>
  <si>
    <t>d. Peranan tokoh masyarakat menjadi mediator / penengah dalam penyelesaian Konflik massal</t>
  </si>
  <si>
    <t>Damai_TokohMasy</t>
  </si>
  <si>
    <t>e. Peranan tokoh agama menjadi mediator / penengah dalam penyelesaian Konflik massal</t>
  </si>
  <si>
    <t>Damai_TokohAg</t>
  </si>
  <si>
    <t>f. Peranan tokoh lainnya menjadi mediator / penengah dalam penyelesaian Konflik massal</t>
  </si>
  <si>
    <t>Damai_lainnya</t>
  </si>
  <si>
    <t>Damai_lainnya_sebutkan</t>
  </si>
  <si>
    <t>g. Tidak ada yang menjadi mediator / penengah upaya dalam penyelesaian Konflik massal</t>
  </si>
  <si>
    <t>Tidak_ada_mediator</t>
  </si>
  <si>
    <t>Penyelesaian konflik di Desa oleh lembaga lokal sesuai adat budaya tertentu di Desa</t>
  </si>
  <si>
    <t>Damai_trad</t>
  </si>
  <si>
    <t>a1. Terdapat tindak kejahatan pencurian</t>
  </si>
  <si>
    <t>Pencurian</t>
  </si>
  <si>
    <t>a2. Terdapat tindak kejahatan penipuan/ penggelapan</t>
  </si>
  <si>
    <t>Penipuan/Penggelapam</t>
  </si>
  <si>
    <t>a3. Terdapat tindak kejahatan penganiayaan</t>
  </si>
  <si>
    <t>Penganiayaan</t>
  </si>
  <si>
    <t>a4. Terdapat tindak kejahatan pembakaran</t>
  </si>
  <si>
    <t>Pembakaran</t>
  </si>
  <si>
    <t>a5. Terdapat tindak kejahatan perkosaan</t>
  </si>
  <si>
    <t>Perkosaan</t>
  </si>
  <si>
    <t>a6. Terdapat tindak kejahatan  peredaran narkoba / penyalahgunaan</t>
  </si>
  <si>
    <t>Narkoba</t>
  </si>
  <si>
    <t>a7. Terdapat tindak kejahatan perjudian</t>
  </si>
  <si>
    <t>Perjudian</t>
  </si>
  <si>
    <t>a8. Terdapat tindak kejahatan pembunuhan</t>
  </si>
  <si>
    <t>Pembunuhan</t>
  </si>
  <si>
    <t>a9. Terdapat tindak kejahatan perdagangan orang</t>
  </si>
  <si>
    <t>Perdagangan_Orang</t>
  </si>
  <si>
    <t>b. Tindak kejahatan yang paling sering terjadi</t>
  </si>
  <si>
    <t>Kejahatan</t>
  </si>
  <si>
    <t>a2</t>
  </si>
  <si>
    <t>Kesejahteraan Sosial</t>
  </si>
  <si>
    <t>a. Ketersediaan SLB di Desa</t>
  </si>
  <si>
    <t>SLB</t>
  </si>
  <si>
    <t>b. Jumlah SLB yang terdapat di Desa</t>
  </si>
  <si>
    <t>Jml_SLB</t>
  </si>
  <si>
    <t>Skor SLB</t>
  </si>
  <si>
    <t>Jika unit &gt;0 skor 5, unit 0 skor 3</t>
  </si>
  <si>
    <t>c. Jarak menuju SLB terdekat</t>
  </si>
  <si>
    <t>Jarak_SLB</t>
  </si>
  <si>
    <t>d1. Jumlah Penyandang Kebutuhan Khusus Tunagrahita Laki-laki</t>
  </si>
  <si>
    <t>Tunagrahita_Lk</t>
  </si>
  <si>
    <t>d2. Jumlah Penyandang Kebutuhan Khusus Tunagrahita Perempuan</t>
  </si>
  <si>
    <t>Tunagrahita-Pr</t>
  </si>
  <si>
    <t>d3. Jumlah Penyandang Kebutuhan Khusus Tunanetra Laki-Laki</t>
  </si>
  <si>
    <t>Tunanetra_Lk</t>
  </si>
  <si>
    <t>d4. Jumlah Penyandang Kebutuhan Khusus Tunanetra Perempuan</t>
  </si>
  <si>
    <t>Tunanetra_Pr</t>
  </si>
  <si>
    <t>d5. Jumlah Penyandang Kebutuhan Khusus Tunarungu Laki-Laki</t>
  </si>
  <si>
    <t>Tunarungu_Lk</t>
  </si>
  <si>
    <t>d6. Jumlah Penyandang Kebutuhan Khusus Tunarungu Perempuan</t>
  </si>
  <si>
    <t>Tunarungu_Pr</t>
  </si>
  <si>
    <t>d7. Jumlah Penyandang Kebutuhan Khusus Tunalaras Laki-laki</t>
  </si>
  <si>
    <t>Tunalaras_Lk</t>
  </si>
  <si>
    <t>d8. Jumlah Penyandang Kebutuhan Khusus Tunalaras Perempuan</t>
  </si>
  <si>
    <t>Tunalaras_Pr</t>
  </si>
  <si>
    <t>d9. Jumlah Penyandang Kebutuhan Khusus Tunadaksa Laki-laki</t>
  </si>
  <si>
    <t>Tunadaksa_Lk</t>
  </si>
  <si>
    <t>d10. Jumlah Penyandang Kebutuhan Khusus Tunadaksa Perempuan</t>
  </si>
  <si>
    <t>Tunadaksa_Pr</t>
  </si>
  <si>
    <t>d11. Jumlah Penyandang Disabilitas bawaan lahir</t>
  </si>
  <si>
    <t>Disabilitas_Lahir</t>
  </si>
  <si>
    <t>d12. Jumlah Penyandang Disabilitas akibat Kecelakaan</t>
  </si>
  <si>
    <t>Disabilitas_Kecelakaan</t>
  </si>
  <si>
    <t>a. Terdapat Penyandang Masalah Kesejahteraan Sosial (PMKS) Anak Jalanan</t>
  </si>
  <si>
    <t>Anak_Jalanan</t>
  </si>
  <si>
    <t>Skor PMKS</t>
  </si>
  <si>
    <t>b. Terdapat Penyandang Masalah Kesejahteraan Sosial (PMKS) Anak Terlantar</t>
  </si>
  <si>
    <t>Anak_terlantar</t>
  </si>
  <si>
    <t>c. Terdapat Penyandang Masalah Kesejahteraan sosial (PMKS) Korban Kekerasan</t>
  </si>
  <si>
    <t>Kekerasan</t>
  </si>
  <si>
    <t>d. Terdapat Penyandang Masalah Kesejahteraan Sosial (PMKS) Lanjut Usia Terlantar</t>
  </si>
  <si>
    <t>LUT</t>
  </si>
  <si>
    <t>e. Terdapat Penyandang Masalah Kesejahteraan Sosial (PMKS) Korban Penyalahgunaan NAPZA</t>
  </si>
  <si>
    <t>NAPZA</t>
  </si>
  <si>
    <t>f. Terdapat Penyandang Masalah Kesejahteraan Sosial (PMKS) Pekerja Migran Terlantar</t>
  </si>
  <si>
    <t>Migran</t>
  </si>
  <si>
    <t>g. Terdapat Penyandang Masalah Kesejahteraan Sosial (PMKS) Gelandangan / Pengemis</t>
  </si>
  <si>
    <t>Gepeng</t>
  </si>
  <si>
    <t>h. Terdapat Penyandang Masalah Kesejahteraan Sosial (PMKS) PSK</t>
  </si>
  <si>
    <t>PSK</t>
  </si>
  <si>
    <t>Jumlah kejadian bunuh diri di Desa</t>
  </si>
  <si>
    <t>BunuhDiri</t>
  </si>
  <si>
    <t>PERMUKIMAN</t>
  </si>
  <si>
    <t>Kondisi Rumah Layak Huni Dibangun Pakai Dana Desa</t>
  </si>
  <si>
    <t>a. Jumlah Rumah Layak Huni yang Dibangun pakai Dana Desa Tahun 2022</t>
  </si>
  <si>
    <t>Jlh_Rumah_Layak_DD2022</t>
  </si>
  <si>
    <t>b. Jumlah Rumah Layak Huni yang Dibangun pakai Dana Desa Tahun 2023</t>
  </si>
  <si>
    <t>Jlh_Rumah_Layak_DD2023</t>
  </si>
  <si>
    <t>c. Jumlah Rumah Layak Huni yang Dibangun pakai Dana Desa Tahun 2024</t>
  </si>
  <si>
    <t>Jlh_Rumah_Layak_DD2024</t>
  </si>
  <si>
    <t>d. Sisa Jumlah Rumah Layak Huni yang layak di bantu setelah 2024</t>
  </si>
  <si>
    <t>Sisa_Jlh_Rumah_layak_2024</t>
  </si>
  <si>
    <t>Rumah Tangga</t>
  </si>
  <si>
    <t>Anggaran Untuk Membangun Rumah Layak Huni</t>
  </si>
  <si>
    <t>a. Anggaran Untuk Membangun Rumah Layak Huni Tahun 2022</t>
  </si>
  <si>
    <t>Anggaran_Bangun_Rumah_2022</t>
  </si>
  <si>
    <t>max 1M</t>
  </si>
  <si>
    <t>b. Anggaran Untuk Membangun Rumah Layak Huni Tahun 2023</t>
  </si>
  <si>
    <t>Anggaran_Bangun_Rumah_2023</t>
  </si>
  <si>
    <t>c. Anggaran Untuk Membangun Rumah Layak Huni Tahun 2024</t>
  </si>
  <si>
    <t>Anggaran_Bangun_Rumah_2024</t>
  </si>
  <si>
    <t>Kondisi Permukiman Desa</t>
  </si>
  <si>
    <t>a. Jumlah KK yang memiliki rumah</t>
  </si>
  <si>
    <t>KK_Punya_Rumah</t>
  </si>
  <si>
    <t>(Jlh KK memiliki rumah + tidak memiliki rumah)&lt;= Total KK</t>
  </si>
  <si>
    <t>($H$875+$H$876)&lt;=$H$499</t>
  </si>
  <si>
    <t>b. Jumlah KK yang tidak memiliki rumah</t>
  </si>
  <si>
    <t>KK_Tdk_Punya_Rumah</t>
  </si>
  <si>
    <t>$H$875+$H$876)&lt;=$H$499</t>
  </si>
  <si>
    <t>a. Jumlah KK yang memiliki rumah permanen</t>
  </si>
  <si>
    <t>KK_Punya_Rumah_Permanen</t>
  </si>
  <si>
    <t>&lt;= KK memiliki Rumah</t>
  </si>
  <si>
    <t>(($H$877+$H$879+$H$881)&lt;=$H$875)</t>
  </si>
  <si>
    <t>b. Kondisi KK Memiliki Rumah Permanen</t>
  </si>
  <si>
    <t>Kondisi_Rumah_Permanen</t>
  </si>
  <si>
    <t>a. Jumlah KK yang memiliki rumah semi permanen</t>
  </si>
  <si>
    <t>KK_Punya_Rumah_Semi_Permanen</t>
  </si>
  <si>
    <t>b. Kondisi KK Memilik rumah semi permanen</t>
  </si>
  <si>
    <t>Kondisi_Rumah_Semi_Permanen</t>
  </si>
  <si>
    <t>a. Jumlah KK yang memiliki rumah non permanen</t>
  </si>
  <si>
    <t>KK_Punya_Rumah_Non_Permanen</t>
  </si>
  <si>
    <t>b. Kondisi rumah non permanen</t>
  </si>
  <si>
    <t>Kondisi_Rumah_Non_Permanen</t>
  </si>
  <si>
    <t>Akses Air Bersih dan Air Minum</t>
  </si>
  <si>
    <t>a. Air minum warga di Desa bersumber dari air kemasan</t>
  </si>
  <si>
    <t>AirMn_kemasan</t>
  </si>
  <si>
    <t>Skor Air Minum</t>
  </si>
  <si>
    <t>b. Air minum warga di Desa bersumber dari air ledeng dengan meteran (PAM/PDAM)</t>
  </si>
  <si>
    <t>AirMn_PAM</t>
  </si>
  <si>
    <t>c. Air minum warga di Desa bersumber dari air ledeng tanpa meteran</t>
  </si>
  <si>
    <t>AirMn_ledeng_tanpa_meteran</t>
  </si>
  <si>
    <t>d. Air minum warga di Desa bersumber dari sumur bor / pompa</t>
  </si>
  <si>
    <t>AirMn_sumurbor</t>
  </si>
  <si>
    <t>e. Air minum warga di Desa bersumber dari sumur</t>
  </si>
  <si>
    <t>AirMn_sumur</t>
  </si>
  <si>
    <t>f. Air minum warga di Desa bersumber dari mata air</t>
  </si>
  <si>
    <t>AirMn_mataair</t>
  </si>
  <si>
    <t>g. Air minum warga di Desa bersumber dari sungai / danau / kolam</t>
  </si>
  <si>
    <t>AirMn_sungai</t>
  </si>
  <si>
    <t>h. Air minum warga di Desa bersumber dari air hujan</t>
  </si>
  <si>
    <t>AirMn_hujan</t>
  </si>
  <si>
    <t>i. Air minum warga di Desa bersumber dari lainnya</t>
  </si>
  <si>
    <t>AirMn_lainnya</t>
  </si>
  <si>
    <t>AirMn_lainnya_sebutkan</t>
  </si>
  <si>
    <t>Cara warga Desa memperoleh air minum</t>
  </si>
  <si>
    <t>Cara_AirMn</t>
  </si>
  <si>
    <t>a. Air untuk mandi / cuci warga di Desa bersumber dari air ledeng dengan meteran (PAM/PDAM)</t>
  </si>
  <si>
    <t>AirMC_PAM</t>
  </si>
  <si>
    <t>Skor Air Mandi &amp; Cuci</t>
  </si>
  <si>
    <t>b. Air untuk mandi / cuci warga di Desa bersumber dari air ledeng tanpa meteran</t>
  </si>
  <si>
    <t>AirMC_ledeng_tanpa_meteran</t>
  </si>
  <si>
    <t>c. Air untuk mandi / cuci warga di Desa bersumber dari sumur bor / pompa</t>
  </si>
  <si>
    <t>AirMC_sumurbor</t>
  </si>
  <si>
    <t>d. Air untuk mandi / cuci warga di Desa bersumber dari sumur</t>
  </si>
  <si>
    <t>AirMC_Sumur</t>
  </si>
  <si>
    <t>e. Air untuk mandi / cuci warga di Desa bersumber dari mata air</t>
  </si>
  <si>
    <t>AirMC_mataair</t>
  </si>
  <si>
    <t>f. Air untuk mandi / cuci warga di Desa bersumber dari sungai / danau / kolam</t>
  </si>
  <si>
    <t>AirMC_sungai</t>
  </si>
  <si>
    <t>g. Air untuk mandi / cuci warga di Desa bersumber dari air hujan</t>
  </si>
  <si>
    <t>AirMC_hujan</t>
  </si>
  <si>
    <t>h. Air untuk mandi / cuci warga di Desa bersumber dari lainnya</t>
  </si>
  <si>
    <t>AirMC_lainnya</t>
  </si>
  <si>
    <t>AirMC_lainnya_sebutkan</t>
  </si>
  <si>
    <t>Akses Sanitasi</t>
  </si>
  <si>
    <t>a. Dimakah Sebagian Besar Warga Desa BAB (Buang Air Besar)</t>
  </si>
  <si>
    <t>BAB</t>
  </si>
  <si>
    <t>Skor Akses Jamban</t>
  </si>
  <si>
    <t>b. Jumlah KK Warga BAB Jamban Sendiri</t>
  </si>
  <si>
    <t>Jamban_Sendiri</t>
  </si>
  <si>
    <t>TOTAL KK Jamban &lt;= Total KK</t>
  </si>
  <si>
    <t>($H$906+$H$907+$H$908+$H$909)&lt;=$H$499</t>
  </si>
  <si>
    <t>c. Jumlah KK Warga BAB Jamban Bersama</t>
  </si>
  <si>
    <t>Jamban_Bersama</t>
  </si>
  <si>
    <t>d. Jumlah KK Warga BAB Jamban Umum</t>
  </si>
  <si>
    <t>Jamban_Umum</t>
  </si>
  <si>
    <t>e. Jumlah KK Warga BAB Bukan Jamban</t>
  </si>
  <si>
    <t>Bukan_Jamban</t>
  </si>
  <si>
    <t>Warga Desa membuang sampah</t>
  </si>
  <si>
    <t>Sampah</t>
  </si>
  <si>
    <t>Skor Sampah</t>
  </si>
  <si>
    <t>Ketersediaan TPS (Tempat Penampungan Sampah Sementara)</t>
  </si>
  <si>
    <t>TPS</t>
  </si>
  <si>
    <t>Kebiasaan warga Desa membuang limbah cair atau air kotor</t>
  </si>
  <si>
    <t>Limbah</t>
  </si>
  <si>
    <t>Akses Listrik</t>
  </si>
  <si>
    <t>a. Jumlah keluarga di Desa yang menggunakan sumber listrik dari PLN</t>
  </si>
  <si>
    <t>JmlKK_listrikPLN</t>
  </si>
  <si>
    <t>Skor Akses Listrik</t>
  </si>
  <si>
    <t>Total KK Teraliri Listrik + Belum Teraliri Listrik &lt;= Total KK</t>
  </si>
  <si>
    <t>($H$914+$H$915+$H$916)&lt;=$H$499</t>
  </si>
  <si>
    <t>b. Jumlah keluarga di Desa yang menggunakan sumber listrik dari non-PLN</t>
  </si>
  <si>
    <t>JmlKK_listrikNonPLN</t>
  </si>
  <si>
    <t>a. Jumlah keluarga yang belum teraliri listrik</t>
  </si>
  <si>
    <t>KK_nonListrik</t>
  </si>
  <si>
    <t>b. Jumlah Rumah Tangga yang belum teraliri listrik</t>
  </si>
  <si>
    <t>Jlh_RT_Belum_alir_Listrik</t>
  </si>
  <si>
    <t>a. Jumlah KK yang memanfaatkan energi Matahari</t>
  </si>
  <si>
    <t>E_Matahari</t>
  </si>
  <si>
    <t>tidak lebih dari total KK</t>
  </si>
  <si>
    <t>b. Jumlah KK yang memanfaatkan energi Angin</t>
  </si>
  <si>
    <t>E_Angin</t>
  </si>
  <si>
    <t>c. Jumlah KK yang memanfaatkan energi Biomassa</t>
  </si>
  <si>
    <t>E_Biomassa</t>
  </si>
  <si>
    <t>d. Jumlah KK yang memanfaatkan energi Bahan Bakar Gas</t>
  </si>
  <si>
    <t>E_Gas</t>
  </si>
  <si>
    <t>e. Jumlah KK yang memanfaatkan energi Bahan Bakar Hayati/nabati/organik Cair</t>
  </si>
  <si>
    <t>E_Hayati_Cair</t>
  </si>
  <si>
    <r>
      <t xml:space="preserve">f. Jumlah KK yang memanfaatkan energi </t>
    </r>
    <r>
      <rPr>
        <i/>
        <sz val="8"/>
        <color rgb="FF000000"/>
        <rFont val="Tahoma"/>
      </rPr>
      <t>Microhydro</t>
    </r>
  </si>
  <si>
    <t>E_Microhydro</t>
  </si>
  <si>
    <t>g. Jumlah KK yang memanfaatkan energi Tenaga Panas Bumi</t>
  </si>
  <si>
    <t>E_Panas_Bumi</t>
  </si>
  <si>
    <t>h. Jumlah sumber energi terbarukan dimanfaatkan warga Desa</t>
  </si>
  <si>
    <t>E_terbarukan</t>
  </si>
  <si>
    <t>Energi Terbarukan</t>
  </si>
  <si>
    <t>Total Energi Terbarukan yg Dipakai</t>
  </si>
  <si>
    <t>a. Terdapatnya Penerangan di Jalan Utama (PJU) di Desa</t>
  </si>
  <si>
    <t>Terdapat_PJU</t>
  </si>
  <si>
    <t>b. Sumber Energi Penerangan Jalan Umum dari PLN</t>
  </si>
  <si>
    <t>PJU_PLN</t>
  </si>
  <si>
    <t>c. Sumber Energi Penerangan Jalan Umum dari Diesel Non PLN</t>
  </si>
  <si>
    <t>PJU_Diesel_Non_PLN</t>
  </si>
  <si>
    <t>d. Sumber Energi Penerangan Jalan Umum dari EBT Non PLN</t>
  </si>
  <si>
    <t>PJU_EBT_Non_PLN</t>
  </si>
  <si>
    <t>Akses Informasi &amp; Komunikasi</t>
  </si>
  <si>
    <t>Sinyal telepon seluler / handphone di Desa</t>
  </si>
  <si>
    <t>Sinyal</t>
  </si>
  <si>
    <t>Skor Sinyal Tlp</t>
  </si>
  <si>
    <r>
      <t xml:space="preserve">a1. Operator / </t>
    </r>
    <r>
      <rPr>
        <i/>
        <sz val="8"/>
        <color rgb="FF000000"/>
        <rFont val="Tahoma"/>
      </rPr>
      <t>provider</t>
    </r>
    <r>
      <rPr>
        <sz val="8"/>
        <color rgb="FF000000"/>
        <rFont val="Tahoma"/>
      </rPr>
      <t xml:space="preserve"> telepon seluler Telkomsel dapat menerima sinyal</t>
    </r>
  </si>
  <si>
    <t>Sinyal_Telkomsel</t>
  </si>
  <si>
    <t>a2. Kualitas Jaringan Internet Operator/Provider Telkomsel</t>
  </si>
  <si>
    <t>Jaringan_Telkomsel</t>
  </si>
  <si>
    <t>4G LTE</t>
  </si>
  <si>
    <t>S 402.a1</t>
  </si>
  <si>
    <r>
      <t xml:space="preserve">b1. Operator / </t>
    </r>
    <r>
      <rPr>
        <i/>
        <sz val="8"/>
        <color rgb="FF000000"/>
        <rFont val="Tahoma"/>
      </rPr>
      <t>provider</t>
    </r>
    <r>
      <rPr>
        <sz val="8"/>
        <color rgb="FF000000"/>
        <rFont val="Tahoma"/>
      </rPr>
      <t xml:space="preserve"> telepon seluler Indosat dapat menerima sinyal</t>
    </r>
  </si>
  <si>
    <t>Sinyal_Indosat</t>
  </si>
  <si>
    <t>2G/ 2.5G/ GPRS/ EDGE</t>
  </si>
  <si>
    <t>b2. Kualitas Jaringan Internet Operator/ Provider Indosat</t>
  </si>
  <si>
    <t>Jaringan_Indosat</t>
  </si>
  <si>
    <t>3G/ 3.5G/ HSDPA/ EVDO</t>
  </si>
  <si>
    <t>S 402.b1</t>
  </si>
  <si>
    <r>
      <t xml:space="preserve">c1. Operator / </t>
    </r>
    <r>
      <rPr>
        <i/>
        <sz val="8"/>
        <color rgb="FF000000"/>
        <rFont val="Tahoma"/>
      </rPr>
      <t>provider</t>
    </r>
    <r>
      <rPr>
        <sz val="8"/>
        <color rgb="FF000000"/>
        <rFont val="Tahoma"/>
      </rPr>
      <t xml:space="preserve"> telepon seluler XL dapat menerima sinyal</t>
    </r>
  </si>
  <si>
    <t>Sinyal_XL_Axiata</t>
  </si>
  <si>
    <t>c2. Kualitas Jaringan Internet Operator/ Provider XL Axiata</t>
  </si>
  <si>
    <t>Jaringan_XL_Axiata</t>
  </si>
  <si>
    <t>5G</t>
  </si>
  <si>
    <t>S 402.c1</t>
  </si>
  <si>
    <r>
      <t xml:space="preserve">d1. Operator / </t>
    </r>
    <r>
      <rPr>
        <i/>
        <sz val="8"/>
        <color rgb="FF000000"/>
        <rFont val="Tahoma"/>
      </rPr>
      <t>provider</t>
    </r>
    <r>
      <rPr>
        <sz val="8"/>
        <color rgb="FF000000"/>
        <rFont val="Tahoma"/>
      </rPr>
      <t xml:space="preserve"> telepon seluler lainnya dapat menerima sinyal</t>
    </r>
  </si>
  <si>
    <t>Op_lainnya</t>
  </si>
  <si>
    <t>Op_lainnya_sebutkan</t>
  </si>
  <si>
    <t>Tri (3)</t>
  </si>
  <si>
    <t>d2. Kualitas Jaringan Internet Operator/ Provider Lainnya</t>
  </si>
  <si>
    <t>Jaringan_Op_Lainnya</t>
  </si>
  <si>
    <t>S 402.d1</t>
  </si>
  <si>
    <t>Siaran program televisi saluran TVRI Nasional dan TVRI daerah</t>
  </si>
  <si>
    <t>TVRI</t>
  </si>
  <si>
    <t>Indihome</t>
  </si>
  <si>
    <t>Siaran program televisi saluran swasta</t>
  </si>
  <si>
    <t>TVswasta</t>
  </si>
  <si>
    <t>First Media</t>
  </si>
  <si>
    <t>Siaran program televisi saluran luar negeri</t>
  </si>
  <si>
    <t>TVLN</t>
  </si>
  <si>
    <t>MNC Play</t>
  </si>
  <si>
    <t>a. Terdapat fasilitas internet di kantor kepala Desa</t>
  </si>
  <si>
    <t>Internet</t>
  </si>
  <si>
    <t>Skor Internet Ktr Desa</t>
  </si>
  <si>
    <t>Biznet</t>
  </si>
  <si>
    <t>b. Kualitas Jaringan Internet di Kantor Desa</t>
  </si>
  <si>
    <t>Jaringan_Internet_Ktr_Desa</t>
  </si>
  <si>
    <t>XL Home</t>
  </si>
  <si>
    <t>S 406.a</t>
  </si>
  <si>
    <t>c. Layanan Jaringan Internet WiFi yang digunakan di Kantor Desa</t>
  </si>
  <si>
    <t>Layanan_Internet_Ktr_Desa</t>
  </si>
  <si>
    <t>Smartfren</t>
  </si>
  <si>
    <t>d. Menggunakan Layanan Jaringan Internet WiFi Lainnya  di Kantor Desa (Sebutkan)</t>
  </si>
  <si>
    <t>Layanan_Internet_Lain_Ktr_Desa</t>
  </si>
  <si>
    <t>Indosat GIG</t>
  </si>
  <si>
    <t>Warga Desa memiliki akses internet</t>
  </si>
  <si>
    <t>Warga_akses_internet</t>
  </si>
  <si>
    <t>Skor Akses Internet Warga</t>
  </si>
  <si>
    <t>Icon + PLN</t>
  </si>
  <si>
    <t>a. Informasi Desa ada di Papan informasi</t>
  </si>
  <si>
    <t>Info_mading</t>
  </si>
  <si>
    <t>My Republic</t>
  </si>
  <si>
    <t>b. Informasi Desa tersedia di Website Desa</t>
  </si>
  <si>
    <t>WebDesa</t>
  </si>
  <si>
    <t>CBN Fiber</t>
  </si>
  <si>
    <t>c. Sarana informasi Lainnya terkait desa</t>
  </si>
  <si>
    <t>Info_lain</t>
  </si>
  <si>
    <t>Info_lain_sebutkan</t>
  </si>
  <si>
    <t>FACEBOOK, IG, TWITTER DAN WEBSITE</t>
  </si>
  <si>
    <t>Tersedia Tower BTS di Desa</t>
  </si>
  <si>
    <t>Tower_BTS</t>
  </si>
  <si>
    <t>Mayoritas warga yang menggunakan Parabola di Desa</t>
  </si>
  <si>
    <t>Warga_Parabola</t>
  </si>
  <si>
    <t>Jarak Tower Provider terdekat di Desa</t>
  </si>
  <si>
    <t>Jarak_Tower_Tdkt</t>
  </si>
  <si>
    <t>IV DIMENSI EKONOMI</t>
  </si>
  <si>
    <t>Keragaman Produksi Masyarakat Desa</t>
  </si>
  <si>
    <t xml:space="preserve">Sumber penghasilan utama penduduk Desa </t>
  </si>
  <si>
    <t>Sumber_Penghasilan_Utama_Warga</t>
  </si>
  <si>
    <t>Produk Unggulan Tanaman Pangan</t>
  </si>
  <si>
    <t>a. Terdapat Produk Unggulan Tanaman Pangan Padi</t>
  </si>
  <si>
    <t>Produk_Unggulan_Pangan_Padi</t>
  </si>
  <si>
    <t>Padi</t>
  </si>
  <si>
    <t>b. Luas Lahan Tanaman Padi</t>
  </si>
  <si>
    <t>Luas_Lahan_Padi</t>
  </si>
  <si>
    <t xml:space="preserve"> max 25rb</t>
  </si>
  <si>
    <t>Jagung</t>
  </si>
  <si>
    <t>c. Jumlah Panen dalam 1 tahun</t>
  </si>
  <si>
    <t>Jumlah_Panen_Padi</t>
  </si>
  <si>
    <t>Kali/Tahun</t>
  </si>
  <si>
    <t>Kedelai</t>
  </si>
  <si>
    <t>d. Total Produksi Panen dalam 1 Tahun Terakhir</t>
  </si>
  <si>
    <t>Total_Produksi_Panen_Padi</t>
  </si>
  <si>
    <t>Kacang Tanah</t>
  </si>
  <si>
    <t>a. Terdapat Produk Unggulan Tanaman Pangan Jagung</t>
  </si>
  <si>
    <t>Produk_Unggulan_Pangan_Jagung</t>
  </si>
  <si>
    <t>Kacang Hijau</t>
  </si>
  <si>
    <t>b. Luas Lahan Tanaman Jagung</t>
  </si>
  <si>
    <t>Luas_Lahan_Jagung</t>
  </si>
  <si>
    <t>Ubi Jalar</t>
  </si>
  <si>
    <t>Jumlah_Panen_Jagung</t>
  </si>
  <si>
    <t>Ubi Kayu</t>
  </si>
  <si>
    <t>Total_Produksi_Panen Jagung</t>
  </si>
  <si>
    <t>Melinjo</t>
  </si>
  <si>
    <t>a. Terdapat Produk Unggulan Tanaman Pangan Kedelai</t>
  </si>
  <si>
    <t>Produk_Unggulan_Pangan_Kedelai</t>
  </si>
  <si>
    <t>Pete</t>
  </si>
  <si>
    <t>b. Luas Lahan Tanaman Kedelai</t>
  </si>
  <si>
    <t>Luas_Lahan_Kedelai</t>
  </si>
  <si>
    <t>Jengkol</t>
  </si>
  <si>
    <t>Jumlah_Panen_Kedelai</t>
  </si>
  <si>
    <t>Talas</t>
  </si>
  <si>
    <t>Total_Produksi_Panen_Kedelai</t>
  </si>
  <si>
    <t>Merica</t>
  </si>
  <si>
    <t>a. Terdapat Produk Unggulan Tanaman Pangan Kacang Tanah</t>
  </si>
  <si>
    <t>Produk_Unggulan_Pangan_Kacang_Tanah</t>
  </si>
  <si>
    <t>Kentang</t>
  </si>
  <si>
    <t>b. Luas Lahan Tanaman Kacang Tanah</t>
  </si>
  <si>
    <t>Luas_Lahan_Kacang_Tanah</t>
  </si>
  <si>
    <t>Wortel</t>
  </si>
  <si>
    <t>Jumlah_Panen_Kacang_Tanah</t>
  </si>
  <si>
    <t>Sorgum</t>
  </si>
  <si>
    <t>Total_Produksi_Panen_Kacang_Tanah</t>
  </si>
  <si>
    <t>Sagu</t>
  </si>
  <si>
    <t>a. Terdapat Produk Unggulan Tanaman Pangan Kacang Hijau</t>
  </si>
  <si>
    <t>Produk_Unggulan_Pangan_Kacang_Hijau</t>
  </si>
  <si>
    <t>Gandum</t>
  </si>
  <si>
    <t>b. Luas Lahan Tanaman Kacang Hijau</t>
  </si>
  <si>
    <t>Luas_Lahan_Kacang_Hijau</t>
  </si>
  <si>
    <t>Sukun</t>
  </si>
  <si>
    <t>Jumlah_Panen_Kacang_Hijau</t>
  </si>
  <si>
    <t>Lainnya ()</t>
  </si>
  <si>
    <t>Total_Produksi_Panen_Kacang_Hijau</t>
  </si>
  <si>
    <t>a. Terdapat Produk Unggulan Tanaman Pangan Ubi Jalar</t>
  </si>
  <si>
    <t>Produk_Unggulan_Pangan_Ubi_Jalar</t>
  </si>
  <si>
    <t>b. Luas Lahan Tanaman Ubi Jalar</t>
  </si>
  <si>
    <t>Luas_Lahan_Ubi_Jalar</t>
  </si>
  <si>
    <t>Jumlah_Panen_Ubi_Jalar</t>
  </si>
  <si>
    <t>Total_Produksi_Panen_Ubi_Jalar</t>
  </si>
  <si>
    <t>a. Terdapat Produk Unggulan Tanaman Pangan Ubi Kayu</t>
  </si>
  <si>
    <t>Produk_Unggulan_Pangan_Ubi_Kayu</t>
  </si>
  <si>
    <t>b. Luas Lahan Tanaman Ubi Kayu</t>
  </si>
  <si>
    <t>Luas_Lahan_Ubi_Kayu</t>
  </si>
  <si>
    <t>Jumlah_Panen_Ubi_Kayu</t>
  </si>
  <si>
    <t>Total_Produksi_Panen_Ubi_Kayu</t>
  </si>
  <si>
    <t>a. Terdapat Produk Unggulan Tanaman Pangan Melinjo</t>
  </si>
  <si>
    <t>Produk_Unggulan_Pangan_Melinjo</t>
  </si>
  <si>
    <t>b. Luas Lahan Tanaman Melinjo</t>
  </si>
  <si>
    <t>Luas_Lahan_Melinjo</t>
  </si>
  <si>
    <t>Jumlah_Panen_Melinjo</t>
  </si>
  <si>
    <t>Total_Produksi_Panen_Melinjo</t>
  </si>
  <si>
    <t>a. Terdapat Produk Unggulan Tanaman Pangan Pete</t>
  </si>
  <si>
    <t>Produk_Unggulan_Pangan_Pete</t>
  </si>
  <si>
    <t>b. Luas Lahan Tanaman Pete</t>
  </si>
  <si>
    <t>Luas_Lahan_Pete</t>
  </si>
  <si>
    <t>Jumlah_Panen_Pete</t>
  </si>
  <si>
    <t>Total_Produksi_Panen_Pete</t>
  </si>
  <si>
    <t>a. Terdapat Produk Unggulan Tanaman Pangan Jengkol</t>
  </si>
  <si>
    <t>Produk_Unggulan_Pangan_Jengkol</t>
  </si>
  <si>
    <t>b. Luas Lahan Tanaman Jengkol</t>
  </si>
  <si>
    <t>Luas_Lahan_Jengkol</t>
  </si>
  <si>
    <t>lebih dari 16 kali</t>
  </si>
  <si>
    <t>Jumlah_Panen_Jengkol</t>
  </si>
  <si>
    <t>Total_Produksi_Panen_Jengkol</t>
  </si>
  <si>
    <t>a. Terdapat Produk Unggulan Tanaman Pangan Talas</t>
  </si>
  <si>
    <t>Produk_Unggulan_Pangan_Talas</t>
  </si>
  <si>
    <t>b. Luas Lahan Tanaman Talas</t>
  </si>
  <si>
    <t>Luas_Lahan_Talas</t>
  </si>
  <si>
    <t>Jumlah_Panen_Talas</t>
  </si>
  <si>
    <t>Total_Produksi_Panen_Talas</t>
  </si>
  <si>
    <t>a. Terdapat Produk Unggulan Tanaman Pangan Merica</t>
  </si>
  <si>
    <t>Produk_Unggulan_Pangan_Merica</t>
  </si>
  <si>
    <t>b. Luas Lahan Tanaman Merica</t>
  </si>
  <si>
    <t>Luas_Lahan_Merica</t>
  </si>
  <si>
    <t>Jumlah_Panen_Merica</t>
  </si>
  <si>
    <t>Total_Produksi_Panen_Merica</t>
  </si>
  <si>
    <t>a. Terdapat Produk Unggulan Tanaman Pangan Kentang</t>
  </si>
  <si>
    <t>Produk_Unggulan_Pangan_Kentang</t>
  </si>
  <si>
    <t>b. Luas Lahan Tanaman Kentang</t>
  </si>
  <si>
    <t>Luas_Lahan_Kentang</t>
  </si>
  <si>
    <t>Jumlah_Panen_Kentang</t>
  </si>
  <si>
    <t>Total_Produksi_Panen_Kentang</t>
  </si>
  <si>
    <t>a. Terdapat Produk Unggulan Tanaman Pangan Wortel</t>
  </si>
  <si>
    <t>Produk_Unggulan_Pangan_Wortel</t>
  </si>
  <si>
    <t>b. Luas Lahan Tanaman Wortel</t>
  </si>
  <si>
    <t>Luas_Lahan_Wortel</t>
  </si>
  <si>
    <t>Jumlah_Panen_Wortel</t>
  </si>
  <si>
    <t>Total_Produksi_Panen_Wortel</t>
  </si>
  <si>
    <t>a. Terdapat Produk Unggulan Tanaman Pangan Sorgum</t>
  </si>
  <si>
    <t>Produk_Unggulan_Pangan_Sorgum</t>
  </si>
  <si>
    <t>b. Luas Lahan Tanaman Sorgum</t>
  </si>
  <si>
    <t>Luas_Lahan_Sorgum</t>
  </si>
  <si>
    <t>Jumlah_Panen_Sorgum</t>
  </si>
  <si>
    <t>Total_Produksi_Panen_Sorgum</t>
  </si>
  <si>
    <t>a. Terdapat Produk Unggulan Tanaman Pangan Sagu</t>
  </si>
  <si>
    <t>Produk_Unggulan_Pangan_Sagu</t>
  </si>
  <si>
    <t>b. Luas Lahan Tanaman Sagu</t>
  </si>
  <si>
    <t>Luas_Lahan_Sagu</t>
  </si>
  <si>
    <t>Jumlah_Panen_Sagu</t>
  </si>
  <si>
    <t>Total_Produksi_Panen_Sagu</t>
  </si>
  <si>
    <t>a. Terdapat Produk Unggulan Tanaman Pangan Gandum</t>
  </si>
  <si>
    <t>Produk_Unggulan_Pangan_Gandum</t>
  </si>
  <si>
    <t>b. Luas Lahan Tanaman Gandum</t>
  </si>
  <si>
    <t>Luas_Lahan_Gandum</t>
  </si>
  <si>
    <t>Jumlah_Panen_Gandum</t>
  </si>
  <si>
    <t>Total_Produksi_Panen_Gandum</t>
  </si>
  <si>
    <t>a. Terdapat Produk Unggulan Tanaman Pangan Sukun</t>
  </si>
  <si>
    <t>Produk_Unggulan_Pangan_Sukun</t>
  </si>
  <si>
    <t>b. Luas Lahan Tanaman Sukun</t>
  </si>
  <si>
    <t>Luas_Lahan_Sukun</t>
  </si>
  <si>
    <t>Jumlah_Panen_Sukun</t>
  </si>
  <si>
    <t>Total_Produksi_Panen_Sukun</t>
  </si>
  <si>
    <t>a. Terdapat Produk Unggulan Tanaman Pangan Lainnya (Sebutkan)</t>
  </si>
  <si>
    <t>Produk_Unggulan_Pangan_Lainnya_(Sebutkan)</t>
  </si>
  <si>
    <t>b. Luas Lahan Tanaman Pangan Lainnya</t>
  </si>
  <si>
    <t>Luas_Lahan_Pangan_Lainnya</t>
  </si>
  <si>
    <t>Jumlah_Panen_Pangan_Lainnya</t>
  </si>
  <si>
    <t>Total_Produksi_Panen_Pangan_Lainnya</t>
  </si>
  <si>
    <t>Tanaman Pangan Holtikultura</t>
  </si>
  <si>
    <t>Buah-buahan</t>
  </si>
  <si>
    <t>a. Terdapat Produk Unggulan Buah Tomat</t>
  </si>
  <si>
    <t>Produk_Unggulan_Tomat</t>
  </si>
  <si>
    <t>b. Luas Lahan Tanaman Buah Tomat</t>
  </si>
  <si>
    <t>Luas_Lahan_Tomat</t>
  </si>
  <si>
    <t>Buah Lainnya ()</t>
  </si>
  <si>
    <t>c. Total Produksi dalam 1 Tahun Terakhir</t>
  </si>
  <si>
    <t>Total_Produksi_Tomat</t>
  </si>
  <si>
    <t>Jeruk Lokal ()</t>
  </si>
  <si>
    <t>a. Terdapat Produk Unggulan Buah Semangka</t>
  </si>
  <si>
    <t>Produk_Unggulan_Semangka</t>
  </si>
  <si>
    <t>Mangga Lokal ()</t>
  </si>
  <si>
    <t>b. Luas Lahan Tanaman Buah Semangka</t>
  </si>
  <si>
    <t>Luas_Lahan_Semangka</t>
  </si>
  <si>
    <t>Tomat</t>
  </si>
  <si>
    <t>Total_Produksi_Semangka</t>
  </si>
  <si>
    <t>Semangka</t>
  </si>
  <si>
    <t>a. Terdapat Produk Unggulan Buah Jeruk Nipis</t>
  </si>
  <si>
    <t>Produk_Unggulan_Jeruk_Nipis</t>
  </si>
  <si>
    <t>Jeruk Nipis</t>
  </si>
  <si>
    <t>b. Luas Lahan Tanaman Buah Jeruk Nipis</t>
  </si>
  <si>
    <t>Luas_Lahan_Jeruk_Nipis</t>
  </si>
  <si>
    <t>Jeruk Lemon</t>
  </si>
  <si>
    <t>Total_Produksi_Jeruk_Nipis</t>
  </si>
  <si>
    <t>Jeruk Bali</t>
  </si>
  <si>
    <t>a. Terdapat Produk Unggulan Buah Jeruk Lemon</t>
  </si>
  <si>
    <t>Produk_Unggulan_Jeruk_Lemon</t>
  </si>
  <si>
    <t>Mangga Manalagi</t>
  </si>
  <si>
    <t>b. Luas Lahan Tanaman Buah Jeruk Lemon</t>
  </si>
  <si>
    <t>Luas_Lahan_Jeruk_Lemon</t>
  </si>
  <si>
    <t>Mangga Alpukat</t>
  </si>
  <si>
    <t>Total_Produksi_Jeruk_Lemon</t>
  </si>
  <si>
    <t>Mangga Harumanis</t>
  </si>
  <si>
    <t>a. Terdapat Produk Unggulan Buah Jeruk Lokal</t>
  </si>
  <si>
    <t>Produk_Unggulan_Jeruk_Lokal</t>
  </si>
  <si>
    <t>Mangga Gedonggincu</t>
  </si>
  <si>
    <t>b. Nama Jeruk Lokal (sebutkan)</t>
  </si>
  <si>
    <t>Nama_Jeruk_Lokal_(sebutkan)</t>
  </si>
  <si>
    <t>Mangga Malibu</t>
  </si>
  <si>
    <t>c. Luas Lahan Tanaman Buah Jeruk Lokal</t>
  </si>
  <si>
    <t>Luas_Lahan_Jeruk_Lokal</t>
  </si>
  <si>
    <t>Mangga Apel</t>
  </si>
  <si>
    <t>d. Total Produksi dalam 1 Tahun Terakhir</t>
  </si>
  <si>
    <t>Total_Produksi_Jeruk_Lokal</t>
  </si>
  <si>
    <t>Melon</t>
  </si>
  <si>
    <t>a. Terdapat Produk Unggulan Buah Jeruk Bali</t>
  </si>
  <si>
    <t>Produk_Unggulan_Jeruk_Bali</t>
  </si>
  <si>
    <t>Stroberi</t>
  </si>
  <si>
    <t>b. Luas Lahan Tanaman Buah Jeruk Bali</t>
  </si>
  <si>
    <t>Luas_Lahan_Jeruk_Bali</t>
  </si>
  <si>
    <t>Rambutan</t>
  </si>
  <si>
    <t>Total_Produksi_Jeruk_Bali</t>
  </si>
  <si>
    <t>Pepaya</t>
  </si>
  <si>
    <t>a. Terdapat Produk Unggulan Buah Mangga Manalagi</t>
  </si>
  <si>
    <t>Produk_Unggulan_Mangga_Manalagi</t>
  </si>
  <si>
    <t>Jambu</t>
  </si>
  <si>
    <t>b. Luas Lahan Tanaman Buah Mangga Manalagi</t>
  </si>
  <si>
    <t>Luas_Lahan_Mangga_Manalagi</t>
  </si>
  <si>
    <t>Pisang</t>
  </si>
  <si>
    <t>Total_Produksi_Mangga_Manalagi</t>
  </si>
  <si>
    <t>Nanas</t>
  </si>
  <si>
    <t>a. Terdapat Produk Unggulan Buah Mangga Alpukat</t>
  </si>
  <si>
    <t>Produk_Unggulan_Mangga_Alpukat</t>
  </si>
  <si>
    <t>Apel</t>
  </si>
  <si>
    <t>b. Luas Lahan Tanaman Buah Mangga Alpukat</t>
  </si>
  <si>
    <t>Luas_Lahan_Mangga_Alpukat</t>
  </si>
  <si>
    <t>Anggur</t>
  </si>
  <si>
    <t>Total_Produksi_Mangga_Alpukat</t>
  </si>
  <si>
    <t>Alpukat</t>
  </si>
  <si>
    <t>a. Terdapat Produk Unggulan Buah Mangga Harumanis</t>
  </si>
  <si>
    <t>Produk_Unggulan_Mangga_Harumanis</t>
  </si>
  <si>
    <t>Durian Montong</t>
  </si>
  <si>
    <t>b. Luas Lahan Tanaman Buah Mangga Harumanis</t>
  </si>
  <si>
    <t>Luas_Lahan_Mangga_Harumanis</t>
  </si>
  <si>
    <t>Durian Petruk</t>
  </si>
  <si>
    <t>Total_Produksi_Mangga_Harumanis</t>
  </si>
  <si>
    <t>Durian Bawor</t>
  </si>
  <si>
    <t>a. Terdapat Produk Unggulan Buah Mangga Gedonggincu</t>
  </si>
  <si>
    <t>Produk_Unggulan_Mangga_Gedonggincu</t>
  </si>
  <si>
    <t>Durian Musangking</t>
  </si>
  <si>
    <t>b. Luas Lahan Tanaman Buah Mangga Gedonggincu</t>
  </si>
  <si>
    <t>Luas_Lahan_Mangga_Gedonggincu</t>
  </si>
  <si>
    <t>Durian Bokor</t>
  </si>
  <si>
    <t>Total_Produksi_Mangga_Gedonggincu</t>
  </si>
  <si>
    <t>Salak</t>
  </si>
  <si>
    <t>a. Terdapat Produk Unggulan Buah Mangga Malibu</t>
  </si>
  <si>
    <t>Produk_Unggulan_Mangga_Malibu</t>
  </si>
  <si>
    <t>Nangka</t>
  </si>
  <si>
    <t>b. Luas Lahan Tanaman Buah Mangga Malibu</t>
  </si>
  <si>
    <t>Luas_Lahan_Mangga_Malibu</t>
  </si>
  <si>
    <t>Naga</t>
  </si>
  <si>
    <t>Total_Produksi_Mangga_Malibu</t>
  </si>
  <si>
    <t>a. Terdapat Produk Unggulan Buah Mangga Apel</t>
  </si>
  <si>
    <t>Produk_Unggulan_Mangga_Apel</t>
  </si>
  <si>
    <t>b. Luas Lahan Tanaman Buah Mangga Apel</t>
  </si>
  <si>
    <t>Luas_Lahan_Mangga_Apel</t>
  </si>
  <si>
    <t>Total_Produksi_Mangga_Apel</t>
  </si>
  <si>
    <t>a. Terdapat Produk Unggulan Buah Mangga Lokal</t>
  </si>
  <si>
    <t>Produk_Unggulan_Mangga_Lokal</t>
  </si>
  <si>
    <t>b. Nama Buah Mangga Lokal (Sebutkan)</t>
  </si>
  <si>
    <t>Nama_Mangga_Lokal_(Sebutkan)</t>
  </si>
  <si>
    <t>c. Luas Lahan Tanaman Buah Mangga Lokal</t>
  </si>
  <si>
    <t>Luas_Lahan_Mangga_Lokal</t>
  </si>
  <si>
    <t>Total_Produksi_Mangga_Lokal</t>
  </si>
  <si>
    <t>a. Terdapat Produk Unggulan Buah Melon</t>
  </si>
  <si>
    <t>Produk_Unggulan_Melon</t>
  </si>
  <si>
    <t>b. Luas Lahan Tanaman Buah Melon</t>
  </si>
  <si>
    <t>Luas_Lahan_Melon</t>
  </si>
  <si>
    <t>Total_Produksi_Melon</t>
  </si>
  <si>
    <t>a. Terdapat Produk Unggulan Buah Stroberi</t>
  </si>
  <si>
    <t>Produk_Unggulan_Stroberi</t>
  </si>
  <si>
    <t>b. Luas Lahan Tanaman Buah Stroberi</t>
  </si>
  <si>
    <t>Luas_Lahan_Stroberi</t>
  </si>
  <si>
    <t>Total_Produksi_Stroberi</t>
  </si>
  <si>
    <t>a. Terdapat Produk Unggulan Buah Rambutan</t>
  </si>
  <si>
    <t>Produk_Unggulan_Rambutan</t>
  </si>
  <si>
    <t>b. Luas Lahan Tanaman Buah Rambutan</t>
  </si>
  <si>
    <t>Luas_Lahan_Rambutan</t>
  </si>
  <si>
    <t>Total_Produksi_Rambutan</t>
  </si>
  <si>
    <t>a. Terdapat Produk Unggulan Buah Pepaya</t>
  </si>
  <si>
    <t>Produk_Unggulan_Pepaya</t>
  </si>
  <si>
    <t>b. Luas Lahan Tanaman Buah Pepaya</t>
  </si>
  <si>
    <t>Luas_Lahan_Pepaya</t>
  </si>
  <si>
    <t>Total_Produksi_Pepaya</t>
  </si>
  <si>
    <t>a. Terdapat Produk Unggulan Buah Jambu</t>
  </si>
  <si>
    <t>Produk_Unggulan_Jambu</t>
  </si>
  <si>
    <t>b. Luas Lahan Tanaman Buah Jambu</t>
  </si>
  <si>
    <t>Luas_Lahan_Jambu</t>
  </si>
  <si>
    <t>Total_Produksi_Jambu</t>
  </si>
  <si>
    <t>a. Terdapat Produk Unggulan Buah Pisang</t>
  </si>
  <si>
    <t>Produk_Unggulan_Pisang</t>
  </si>
  <si>
    <t>b. Luas Lahan Tanaman Buah Pisang</t>
  </si>
  <si>
    <t>Luas_Lahan_Pisang</t>
  </si>
  <si>
    <t>Total_Produksi_Pisang</t>
  </si>
  <si>
    <t>a. Terdapat Produk Unggulan Buah Nanas</t>
  </si>
  <si>
    <t>Produk_Unggulan_Nanas</t>
  </si>
  <si>
    <t>b. Luas Lahan Tanaman Buah Nanas</t>
  </si>
  <si>
    <t>Luas_Lahan_Nanas</t>
  </si>
  <si>
    <t>Total_Produksi_Nanas</t>
  </si>
  <si>
    <t>a. Terdapat Produk Unggulan Buah Apel</t>
  </si>
  <si>
    <t>Produk_Unggulan_Apel</t>
  </si>
  <si>
    <t>b. Luas Lahan Tanaman Buah Apel</t>
  </si>
  <si>
    <t>Luas_Lahan_Apel</t>
  </si>
  <si>
    <t>Total_Produksi_Apel</t>
  </si>
  <si>
    <t>a. Terdapat Produk Unggulan Buah Anggur</t>
  </si>
  <si>
    <t>Produk_Unggulan_Anggur</t>
  </si>
  <si>
    <t>b. Luas Lahan Tanaman Buah Anggur</t>
  </si>
  <si>
    <t>Luas_Lahan_Anggur</t>
  </si>
  <si>
    <t>Total_Produksi_Anggur</t>
  </si>
  <si>
    <t>a. Terdapat Produk Unggulan Buah Alpukat</t>
  </si>
  <si>
    <t>Produk_Unggulan_Alpukat</t>
  </si>
  <si>
    <t>b. Luas Lahan Tanaman Buah Alpukat</t>
  </si>
  <si>
    <t>Luas_Lahan_Alpukat</t>
  </si>
  <si>
    <t>Total_Produksi_Alpukat</t>
  </si>
  <si>
    <t>a. Terdapat Produk Unggulan Buah Durian Montong</t>
  </si>
  <si>
    <t>Produk_Unggulan_Durian_Montong</t>
  </si>
  <si>
    <t>b. Luas Lahan Tanaman Buah Durian Montong</t>
  </si>
  <si>
    <t>Luas_Lahan_Durian_Montong</t>
  </si>
  <si>
    <t>Total_Produksi_Durian_Montong</t>
  </si>
  <si>
    <t>a. Terdapat Produk Unggulan Buah Durian Petruk</t>
  </si>
  <si>
    <t>Produk_Unggulan_Durian_Petruk</t>
  </si>
  <si>
    <t>b. Luas Lahan Tanaman Buah Durian Petruk</t>
  </si>
  <si>
    <t>Luas_Lahan_Durian_Petruk</t>
  </si>
  <si>
    <t>Total_Produksi_Durian_Petruk</t>
  </si>
  <si>
    <t>a. Terdapat Produk Unggulan Buah Durian Bawor</t>
  </si>
  <si>
    <t>Produk_Unggulan_Durian_Bawor</t>
  </si>
  <si>
    <t>b. Luas Lahan Tanaman Buah Durian Bawor</t>
  </si>
  <si>
    <t>Luas_Lahan_Durian_Bawor</t>
  </si>
  <si>
    <t>Total_Produksi_Durian_Bawor</t>
  </si>
  <si>
    <t>a. Terdapat Produk Unggulan Buah Durian Musangking</t>
  </si>
  <si>
    <t>Produk_Unggulan_Durian_Musangking</t>
  </si>
  <si>
    <t>b. Luas Lahan Tanaman Buah Durian Musangking</t>
  </si>
  <si>
    <t>Luas_Lahan_Durian_Musangking</t>
  </si>
  <si>
    <t>Total_Produksi_Durian_Musangking</t>
  </si>
  <si>
    <t>a. Terdapat Produk Unggulan Buah Durian Bokor</t>
  </si>
  <si>
    <t>Produk_Unggulan_Durian_Bokor</t>
  </si>
  <si>
    <t>b. Luas Lahan Tanaman Buah Durian Bokor</t>
  </si>
  <si>
    <t>Luas_Lahan_Durian_Bokor</t>
  </si>
  <si>
    <t>Total_Produksi_Durian_Bokor</t>
  </si>
  <si>
    <t>a. Terdapat Produk Unggulan Buah Salak</t>
  </si>
  <si>
    <t>Produk_Unggulan_Salak</t>
  </si>
  <si>
    <t>b. Luas Lahan Tanaman Buah Salak</t>
  </si>
  <si>
    <t>Luas_Lahan_Salak</t>
  </si>
  <si>
    <t>Total_Produksi_Salak</t>
  </si>
  <si>
    <t>a. Terdapat Produk Unggulan Buah Nangka</t>
  </si>
  <si>
    <t>Produk_Unggulan_Nangka</t>
  </si>
  <si>
    <t>b. Luas Lahan Tanaman Buah Nangka</t>
  </si>
  <si>
    <t>Luas_Lahan_Nangka</t>
  </si>
  <si>
    <t>Total_Produksi_Nangka</t>
  </si>
  <si>
    <t>a. Terdapat Produk Unggulan Buah Naga</t>
  </si>
  <si>
    <t>Produk_Unggulan_Naga</t>
  </si>
  <si>
    <t>b. Luas Lahan Tanaman Buah Naga</t>
  </si>
  <si>
    <t>Luas_Lahan_Naga</t>
  </si>
  <si>
    <t>Total_Produksi_Naga</t>
  </si>
  <si>
    <t>a. Produk Unggulan Buah Lainnya (Sebutkan)</t>
  </si>
  <si>
    <t>Produk_Unggulan_Lainnya_(Sebutkan)</t>
  </si>
  <si>
    <t>b. Luas Lahan Tanaman Buah Lainnya</t>
  </si>
  <si>
    <t>Luas_Lahan_Lainnya</t>
  </si>
  <si>
    <t>Total_Produksi_Buah_Lainnya</t>
  </si>
  <si>
    <t>Tanaman Sayuran</t>
  </si>
  <si>
    <t>a. Terdapat Produk Unggulan Bawang Merah</t>
  </si>
  <si>
    <t>Produk_Unggulan_Bawang_Merah</t>
  </si>
  <si>
    <t>Bawang Merah</t>
  </si>
  <si>
    <t>b. Luas Lahan Tanaman Sayur Bawang Merah</t>
  </si>
  <si>
    <t>Luas_Lahan_Sayur_Bawang_Merah</t>
  </si>
  <si>
    <t>Bawang Putih</t>
  </si>
  <si>
    <t>Total_Produksi_Bawang_Merah</t>
  </si>
  <si>
    <t>Kubis</t>
  </si>
  <si>
    <t>a. Terdapat Produk Unggulan Bawang Putih</t>
  </si>
  <si>
    <t>Produk_Unggulan_Bawang_Putih</t>
  </si>
  <si>
    <t>Bayam</t>
  </si>
  <si>
    <t>b. Luas Lahan Tanaman Sayur Bawang Putih</t>
  </si>
  <si>
    <t>Luas_Lahan_Sayur_Bawang_Putih</t>
  </si>
  <si>
    <t>Kelor</t>
  </si>
  <si>
    <t>Total_Produksi_Bawang_Putih</t>
  </si>
  <si>
    <t>Kangkung</t>
  </si>
  <si>
    <t>a. Terdapat Produk Unggulan Kubis</t>
  </si>
  <si>
    <t>Produk_Unggulan_Kubis</t>
  </si>
  <si>
    <t>Kol</t>
  </si>
  <si>
    <t>b. Luas Lahan Tanaman Sayur Kubis</t>
  </si>
  <si>
    <t>Luas_Lahan_Sayur_Kubis</t>
  </si>
  <si>
    <t>Selada</t>
  </si>
  <si>
    <t>Total_Produksi_Kubis</t>
  </si>
  <si>
    <t>Mentimun/Timun/Ketimun</t>
  </si>
  <si>
    <t>a. Terdapat Produk Unggulan Bayam</t>
  </si>
  <si>
    <t>Produk_Unggulan_Bayam</t>
  </si>
  <si>
    <t>Buncis</t>
  </si>
  <si>
    <t>b. Luas Lahan Tanaman Sayur Bayam</t>
  </si>
  <si>
    <t>Luas_Lahan_Sayur_Bayam</t>
  </si>
  <si>
    <t>Brokoli</t>
  </si>
  <si>
    <t>Total_Produksi_Bayam</t>
  </si>
  <si>
    <t>Toge</t>
  </si>
  <si>
    <t>a. Terdapat Produk Unggulan Kelor</t>
  </si>
  <si>
    <t>Produk_Unggulan_Kelor</t>
  </si>
  <si>
    <t>Seledri</t>
  </si>
  <si>
    <t>b. Luas Lahan Tanaman Sayur Kelor</t>
  </si>
  <si>
    <t>Luas_Lahan_Sayur_Kelor</t>
  </si>
  <si>
    <t>Kemangi</t>
  </si>
  <si>
    <t>Total_Produksi_Kelor</t>
  </si>
  <si>
    <t>Sawi</t>
  </si>
  <si>
    <t>a. Terdapat Produk Unggulan Kangkung</t>
  </si>
  <si>
    <t>Produk_Unggulan_Kangkung</t>
  </si>
  <si>
    <t>Cabai Keriting</t>
  </si>
  <si>
    <t>b. Luas Lahan Tanaman Sayur Kangkung</t>
  </si>
  <si>
    <t>Luas_Lahan_Sayur_Kangkung</t>
  </si>
  <si>
    <t>Cabai Rawit</t>
  </si>
  <si>
    <t>Total_Produksi_Kangkung</t>
  </si>
  <si>
    <t>a. Terdapat Produk Unggulan Kol</t>
  </si>
  <si>
    <t>Produk_Unggulan_Kol</t>
  </si>
  <si>
    <t>Pare</t>
  </si>
  <si>
    <t>b. Luas Lahan Tanaman Sayur Kol</t>
  </si>
  <si>
    <t>Luas_Lahan_Sayur_Kol</t>
  </si>
  <si>
    <t>Kacang Panjang</t>
  </si>
  <si>
    <t>Total_Produksi_Kol</t>
  </si>
  <si>
    <t>Terong</t>
  </si>
  <si>
    <t>a. Terdapat Produk Unggulan Selada</t>
  </si>
  <si>
    <t>Produk_Unggulan_Selada</t>
  </si>
  <si>
    <t>Rebung</t>
  </si>
  <si>
    <t>b. Luas Lahan Tanaman Sayur Selada</t>
  </si>
  <si>
    <t>Luas_Lahan_Sayur_Selada</t>
  </si>
  <si>
    <t>Total_Produksi_Selada</t>
  </si>
  <si>
    <t>a. Terdapat Produk Unggulan Mentimun/Timun/Ketimun</t>
  </si>
  <si>
    <t>Produk_Unggulan_Mentimun/Timun/Ketimun</t>
  </si>
  <si>
    <t>b. Luas Lahan Tanaman Sayur Mentimun/Timun/Ketimun</t>
  </si>
  <si>
    <t>Luas_Lahan_Sayur_Mentimun/Timun/Ketimun</t>
  </si>
  <si>
    <t>Total_Produksi_Mentimun/Timun/Ketimun</t>
  </si>
  <si>
    <t>a. Terdapat Produk Unggulan Buncis</t>
  </si>
  <si>
    <t>Produk_Unggulan_Buncis</t>
  </si>
  <si>
    <t>b. Luas Lahan Tanaman Sayur Buncis</t>
  </si>
  <si>
    <t>Luas_Lahan_Sayur_Buncis</t>
  </si>
  <si>
    <t>Total_Produksi_Buncis</t>
  </si>
  <si>
    <t>a. Terdapat Produk Unggulan Brokoli</t>
  </si>
  <si>
    <t>Produk_Unggulan_Brokoli</t>
  </si>
  <si>
    <t>b. Luas Lahan Tanaman Sayur Brokoli</t>
  </si>
  <si>
    <t>Luas_Lahan_Sayur_Brokoli</t>
  </si>
  <si>
    <t>Total_Produksi_Brokoli</t>
  </si>
  <si>
    <t>a. Terdapat Produk Unggulan Toge</t>
  </si>
  <si>
    <t>Produk_Unggulan_Toge</t>
  </si>
  <si>
    <t>b. Luas Lahan Tanaman Sayur Toge</t>
  </si>
  <si>
    <t>Luas_Lahan_Sayur_Toge</t>
  </si>
  <si>
    <t>Total_Produksi_Toge</t>
  </si>
  <si>
    <t>a. Terdapat Produk Unggulan Seledri</t>
  </si>
  <si>
    <t>Produk_Unggulan_Seledri</t>
  </si>
  <si>
    <t>b. Luas Lahan Tanaman Sayur Seledri</t>
  </si>
  <si>
    <t>Luas_Lahan_Sayur_Seledri</t>
  </si>
  <si>
    <t>Total_Produksi_Seledri</t>
  </si>
  <si>
    <t>a. Terdapat Produk Unggulan Kemangi</t>
  </si>
  <si>
    <t>Produk_Unggulan_Kemangi</t>
  </si>
  <si>
    <t>b. Luas Lahan Tanaman Sayur Kemangi</t>
  </si>
  <si>
    <t>Luas_Lahan_Sayur_Kemangi</t>
  </si>
  <si>
    <t>Total_Produksi_Kemangi</t>
  </si>
  <si>
    <t>a. Terdapat Produk Unggulan Sawi</t>
  </si>
  <si>
    <t>Produk_Unggulan_Sawi</t>
  </si>
  <si>
    <t>b. Luas Lahan Tanaman Sayur Sawi</t>
  </si>
  <si>
    <t>Luas_Lahan_Sayur_Sawi</t>
  </si>
  <si>
    <t>Total_Produksi_Sawi</t>
  </si>
  <si>
    <t>a. Terdapat Produk Unggulan Cabai Keriting</t>
  </si>
  <si>
    <t>Produk_Unggulan_Cabai_Keriting</t>
  </si>
  <si>
    <t>b. Luas Lahan Tanaman Sayur Cabai Keriting</t>
  </si>
  <si>
    <t>Luas_Lahan_Sayur_Cabai_Keriting</t>
  </si>
  <si>
    <t>Total_Produksi_Cabai_Keriting</t>
  </si>
  <si>
    <t>a. Terdapat Produk Unggulan Cabai Rawit</t>
  </si>
  <si>
    <t>Produk_Unggulan_Cabai_Rawit</t>
  </si>
  <si>
    <t>b. Luas Lahan Tanaman Sayur Cabai Rawit</t>
  </si>
  <si>
    <t>Luas_Lahan_Sayur_Cabai_Rawit</t>
  </si>
  <si>
    <t>Total_Produksi_Cabai_Rawit</t>
  </si>
  <si>
    <t>a. Terdapat Produk Unggulan Tanaman Sayur Cabai Lokal</t>
  </si>
  <si>
    <t>Produk_Unggulan_Sayur_Cabai_Lokal</t>
  </si>
  <si>
    <t>b. Nama Cabai Lokal (sebutkan)</t>
  </si>
  <si>
    <t>Nama_Cabai_Lokal_(sebutkan)</t>
  </si>
  <si>
    <t>c. Luas LahanTanaman Cabai Lokal</t>
  </si>
  <si>
    <t>Luas_LahanTanaman_Cabai_Lokal</t>
  </si>
  <si>
    <t>d.Total Produksi dalam 1 Tahun Terakhir</t>
  </si>
  <si>
    <t>d.Total_Produksi_Cabai_Lokal</t>
  </si>
  <si>
    <t>a. Terdapat Produk Unggulan Tanaman Sayur Pare</t>
  </si>
  <si>
    <t>Produk_Unggulan_Sayur_Pare</t>
  </si>
  <si>
    <t>b. Luas LahanTanaman Sayur Pare</t>
  </si>
  <si>
    <t>Luas_LahanTanaman_Sayur_Pare</t>
  </si>
  <si>
    <t>Total_Produksi_Pare</t>
  </si>
  <si>
    <t>a. Terdapat Produk Unggulan Tanaman Sayur Kacang Panjang</t>
  </si>
  <si>
    <t>Produk_Unggulan_Sayur_Kacang_Panjang</t>
  </si>
  <si>
    <t>b. Luas LahanTanaman Sayur Kacang Panjang</t>
  </si>
  <si>
    <t>Luas_LahanTanaman_Sayur_Kacang_Panjang</t>
  </si>
  <si>
    <t>Total_Produksi_Kacang_Panjang</t>
  </si>
  <si>
    <t>a. Terdapat Produk Unggulan Tanaman Sayur Terong</t>
  </si>
  <si>
    <t>Produk_Unggulan_Sayur_Terong</t>
  </si>
  <si>
    <t>b. Luas LahanTanaman Sayur Terong</t>
  </si>
  <si>
    <t>Luas_LahanTanaman_Sayur_Terong</t>
  </si>
  <si>
    <t>Total_Produksi_Terong</t>
  </si>
  <si>
    <t>a. Terdapat Produk Unggulan Tanaman Sayur Rebung</t>
  </si>
  <si>
    <t>Produk_Unggulan_Sayur_Rebung</t>
  </si>
  <si>
    <t>b. Luas LahanTanaman Sayur Rebung</t>
  </si>
  <si>
    <t>Luas_LahanTanaman_Sayur_Rebung</t>
  </si>
  <si>
    <t>Total_Produksi_Rebung</t>
  </si>
  <si>
    <t>a. Terdapat Produk Unggulan Tanaman Sayur Lainnya (Sebutkan)</t>
  </si>
  <si>
    <t>Produk_Unggulan_Sayur_Lainnya_(Sebutkan)</t>
  </si>
  <si>
    <t>b. Luas LahanTanaman Sayur Lainnya</t>
  </si>
  <si>
    <t>Luas_LahanTanaman_Sayur_Lainnya</t>
  </si>
  <si>
    <t>Total_Produksi_Sayuran_Lainnya</t>
  </si>
  <si>
    <t>Tanaman Obat</t>
  </si>
  <si>
    <t>a. Terdapat Produk Unggulan Tanaman Obat Jahe</t>
  </si>
  <si>
    <t>Produk_Unggulan_Jahe</t>
  </si>
  <si>
    <t>Jahe</t>
  </si>
  <si>
    <t>b. Luas Lahan Tanaman Jahe</t>
  </si>
  <si>
    <t>Luas_Lahan_Jahe</t>
  </si>
  <si>
    <t>Jahe Merah</t>
  </si>
  <si>
    <t>Total_Produksi_Jahe</t>
  </si>
  <si>
    <t>Kunyit</t>
  </si>
  <si>
    <t>a. Terdapat Produk Unggulan Tanaman Obat Jahe Merah</t>
  </si>
  <si>
    <t>Produk_Unggulan_Jahe_Merah</t>
  </si>
  <si>
    <t>Kunyit Putih</t>
  </si>
  <si>
    <t>b. Luas LahanTanaman Jahe Merah</t>
  </si>
  <si>
    <t>Luas_LahanTanaman_Jahe_Merah</t>
  </si>
  <si>
    <t>lengkuas/ Laos</t>
  </si>
  <si>
    <t>Total_Produksi_Jahe_Merah</t>
  </si>
  <si>
    <t>Kencur</t>
  </si>
  <si>
    <t>a. Terdapat Produk Unggulan Tanaman Obat Kunyit</t>
  </si>
  <si>
    <t>Produk_Unggulan_Kunyit</t>
  </si>
  <si>
    <t>Temulawak</t>
  </si>
  <si>
    <t>b. Luas LahanTanaman Kunyit</t>
  </si>
  <si>
    <t>Luas_LahanTanaman_Kunyit</t>
  </si>
  <si>
    <t>Lidah Buaya</t>
  </si>
  <si>
    <t>Total_Produksi_Kunyit</t>
  </si>
  <si>
    <t>Kumis Kucing</t>
  </si>
  <si>
    <t>a. Terdapat Produk Unggulan Tanaman Obat Kunyit Putih</t>
  </si>
  <si>
    <t>Produk_Unggulan_Kunyit_Putih</t>
  </si>
  <si>
    <t>b. Luas LahanTanaman Kunyit Putih</t>
  </si>
  <si>
    <t>Luas_LahanTanaman_Kunyit_Putih</t>
  </si>
  <si>
    <t>Sirih</t>
  </si>
  <si>
    <t>Total_Produksi_Kunyit_Putih</t>
  </si>
  <si>
    <t>Ketumbar</t>
  </si>
  <si>
    <t>a. Terdapat Produk Unggulan Tanaman Obat lengkuas/ Laos</t>
  </si>
  <si>
    <t>Produk_Unggulan_Lengkuas/Laos</t>
  </si>
  <si>
    <t>Sambiloto</t>
  </si>
  <si>
    <t>b. Luas LahanTanaman Lengkuas/Laos</t>
  </si>
  <si>
    <t>Luas_LahanTanaman_Lengkuas/Laos</t>
  </si>
  <si>
    <t>Gingko Giloba</t>
  </si>
  <si>
    <t>Total_Produksi_Lengkuas/Laos</t>
  </si>
  <si>
    <t>Bangle</t>
  </si>
  <si>
    <t>a. Terdapat Produk Unggulan Tanaman Obat Kencur</t>
  </si>
  <si>
    <t>Produk_Unggulan_Kencur</t>
  </si>
  <si>
    <t>Mengkudu</t>
  </si>
  <si>
    <t>b. Luas LahanTanaman Kencur</t>
  </si>
  <si>
    <t>Luas_LahanTanaman_Kencur</t>
  </si>
  <si>
    <t>Kayu Manis</t>
  </si>
  <si>
    <t>Total_Produksi_Kencur</t>
  </si>
  <si>
    <t>Jintan Hitam</t>
  </si>
  <si>
    <t>a. Terdapat Produk Unggulan Tanaman Obat Temulawak</t>
  </si>
  <si>
    <t>Produk_Unggulan_Temulawak</t>
  </si>
  <si>
    <t>Kapulaga</t>
  </si>
  <si>
    <t>b. Luas LahanTanaman Temulawak</t>
  </si>
  <si>
    <t>Luas_LahanTanaman_Temulawak</t>
  </si>
  <si>
    <t>Sereh</t>
  </si>
  <si>
    <t>Total_Produksi_Temulawak</t>
  </si>
  <si>
    <t>a. Terdapat Produk Unggulan Tanaman Obat Lidah Buaya</t>
  </si>
  <si>
    <t>Produk_Unggulan_Lidah_Buaya</t>
  </si>
  <si>
    <t>b. Luas LahanTanaman Lidah Buaya</t>
  </si>
  <si>
    <t>Luas_LahanTanaman_Lidah_Buaya</t>
  </si>
  <si>
    <t>Total_Produksi_Lidah_Buaya</t>
  </si>
  <si>
    <t>a. Terdapat Produk Unggulan Tanaman Obat Kumis Kucing</t>
  </si>
  <si>
    <t>Produk_Unggulan_Kumis_Kucing</t>
  </si>
  <si>
    <t>b. Luas LahanTanaman Kumis Kucing</t>
  </si>
  <si>
    <t>Luas_LahanTanaman_Kumis_Kucing</t>
  </si>
  <si>
    <t>Total_Produksi_Kumis_Kucing</t>
  </si>
  <si>
    <t>a. Terdapat Produk Unggulan Tanaman Obat Kemangi</t>
  </si>
  <si>
    <t>b. Luas LahanTanaman Kemangi</t>
  </si>
  <si>
    <t>Luas_LahanTanaman_Kemangi</t>
  </si>
  <si>
    <t>a. Terdapat Produk Unggulan Tanaman Obat Sirih</t>
  </si>
  <si>
    <t>Produk_Unggulan_Sirih</t>
  </si>
  <si>
    <t>b. Luas LahanTanaman Sirih</t>
  </si>
  <si>
    <t>Luas_LahanTanaman_Sirih</t>
  </si>
  <si>
    <t>Total_Produksi_Sirih</t>
  </si>
  <si>
    <t>a. Terdapat Produk Unggulan Tanaman Obat Ketumbar</t>
  </si>
  <si>
    <t>Produk_Unggulan_Ketumbar</t>
  </si>
  <si>
    <t>b. Luas LahanTanaman Ketumbar</t>
  </si>
  <si>
    <t>Luas_LahanTanaman_Ketumbar</t>
  </si>
  <si>
    <t>Total_Produksi_Ketumbar</t>
  </si>
  <si>
    <t>a. Terdapat Produk Unggulan Tanaman Obat Sambiloto</t>
  </si>
  <si>
    <t>Produk_Unggulan_Sambiloto</t>
  </si>
  <si>
    <t>b. Luas LahanTanaman Sambiloto</t>
  </si>
  <si>
    <t>Luas_LahanTanaman_Sambiloto</t>
  </si>
  <si>
    <t>Total_Produksi_Sambiloto</t>
  </si>
  <si>
    <t>a. Terdapat Produk Unggulan Tanaman Obat Gingko Giloba</t>
  </si>
  <si>
    <t>Produk_Unggulan_Gingko_Giloba</t>
  </si>
  <si>
    <t>b. Luas LahanTanaman Gingko Giloba</t>
  </si>
  <si>
    <t>Luas_LahanTanaman_Gingko_Giloba</t>
  </si>
  <si>
    <t>Total_Produksi_GingkoGiloba</t>
  </si>
  <si>
    <t>a. Terdapat Produk Unggulan Tanaman Obat Bangle</t>
  </si>
  <si>
    <t>Produk_Unggulan_Bangle</t>
  </si>
  <si>
    <t>b. Luas LahanTanaman Bangle</t>
  </si>
  <si>
    <t>Luas_LahanTanaman_Bangle</t>
  </si>
  <si>
    <t>Total_Produksi_Bangle</t>
  </si>
  <si>
    <t>a. Terdapat Produk Unggulan Tanaman Obat Mengkudu</t>
  </si>
  <si>
    <t>Produk_Unggulan_Mengkudu</t>
  </si>
  <si>
    <t>b. Luas LahanTanaman Mengkudu</t>
  </si>
  <si>
    <t>Luas_LahanTanaman_Mengkudu</t>
  </si>
  <si>
    <t>Total_Produksi_Mengkudu</t>
  </si>
  <si>
    <t>a. Terdapat Produk Unggulan Tanaman Obat Kayu Manis</t>
  </si>
  <si>
    <t>Produk_Unggulan_Kayu_Manis</t>
  </si>
  <si>
    <t>b. Luas LahanTanaman Kayu Manis</t>
  </si>
  <si>
    <t>Luas_LahanTanaman_Kayu_Manis</t>
  </si>
  <si>
    <t>Total_Produksi_Kayu_Manis</t>
  </si>
  <si>
    <t>a. Terdapat Produk Unggulan Tanaman Obat Jintan Hitam</t>
  </si>
  <si>
    <t>Produk_Unggulan_Jintan_Hitam</t>
  </si>
  <si>
    <t>b. Luas LahanTanaman Jintan Hitam</t>
  </si>
  <si>
    <t>Luas_LahanTanaman_Jintan_Hitam</t>
  </si>
  <si>
    <t>Total_Produksi_Jintan_Hitam</t>
  </si>
  <si>
    <t>a. Terdapat Produk Unggulan Tanaman Obat Kapulaga</t>
  </si>
  <si>
    <t>Produk_Unggulan_Kapulaga</t>
  </si>
  <si>
    <t>b. Luas LahanTanaman Kapulaga</t>
  </si>
  <si>
    <t>Luas_LahanTanaman_Kapulaga</t>
  </si>
  <si>
    <t>Total_Produksi_Kapulaga</t>
  </si>
  <si>
    <t>a. Terdapat Produk Unggulan Tanaman Obat Sereh</t>
  </si>
  <si>
    <t>Produk_Unggulan_Sereh</t>
  </si>
  <si>
    <t>b. Luas LahanTanaman Sereh</t>
  </si>
  <si>
    <t>Luas_LahanTanaman_Sereh</t>
  </si>
  <si>
    <t>Total_Produksi_Sereh</t>
  </si>
  <si>
    <t>a. Terdapat Produk Unggulan Tanaman Obat Lainnya</t>
  </si>
  <si>
    <t>Produk_Unggulan_Tanman_Obat_Lainnya</t>
  </si>
  <si>
    <t>b. Nama Tanaman Obat Lainnya (Sebutkan)</t>
  </si>
  <si>
    <t>Nama_Lainnya_(Sebutkan)</t>
  </si>
  <si>
    <t>c. Luas Lahan Tanaman Obat Lainnya</t>
  </si>
  <si>
    <t>Luas_Lahan_Tanaman_Obat_Lainnya</t>
  </si>
  <si>
    <t>Total_Produksi_Tanaman_Obat_Lainnya</t>
  </si>
  <si>
    <t>Komoditas yang telah Masuk Pasar Modern (Domestik)</t>
  </si>
  <si>
    <t>Pasar Domestik Tanaman Pangan</t>
  </si>
  <si>
    <r>
      <t xml:space="preserve">a. Komoditas Tanaman Pangan Unggulan </t>
    </r>
    <r>
      <rPr>
        <b/>
        <sz val="8"/>
        <color rgb="FF000000"/>
        <rFont val="Tahoma"/>
      </rPr>
      <t xml:space="preserve">Pertama </t>
    </r>
    <r>
      <rPr>
        <sz val="8"/>
        <color rgb="FF000000"/>
        <rFont val="Tahoma"/>
      </rPr>
      <t>Masuk Pasar Modern (Domenstik)</t>
    </r>
  </si>
  <si>
    <t>Komoditas_Pangan_Unggulan_Pertama_Domestik</t>
  </si>
  <si>
    <r>
      <t xml:space="preserve">b. Total Tanaman Pangan Unggulan </t>
    </r>
    <r>
      <rPr>
        <b/>
        <sz val="8"/>
        <color rgb="FF000000"/>
        <rFont val="Tahoma"/>
      </rPr>
      <t xml:space="preserve">Pertama </t>
    </r>
    <r>
      <rPr>
        <sz val="8"/>
        <color rgb="FF000000"/>
        <rFont val="Tahoma"/>
      </rPr>
      <t>yang dipasarkan ke Pasar Modern dalam 1 Tahun Terakhir</t>
    </r>
  </si>
  <si>
    <t>Total_Pangan_Unggulan_Pertama_Masuk_Pasar_Domestik</t>
  </si>
  <si>
    <r>
      <t xml:space="preserve">c. Wilayah Tujuan Pasar Domestik Perdagangan Tanaman Pangan Unggulan </t>
    </r>
    <r>
      <rPr>
        <b/>
        <sz val="8"/>
        <color rgb="FF000000"/>
        <rFont val="Tahoma"/>
      </rPr>
      <t>Pertama</t>
    </r>
  </si>
  <si>
    <t>Wilayah_Tujuan_Pasar_Domestik__Pangan_Unggulan_Pertama</t>
  </si>
  <si>
    <r>
      <t xml:space="preserve">a. Komoditas Tanaman Pangan Unggulan </t>
    </r>
    <r>
      <rPr>
        <b/>
        <sz val="8"/>
        <color rgb="FF000000"/>
        <rFont val="Tahoma"/>
      </rPr>
      <t xml:space="preserve">Kedua </t>
    </r>
    <r>
      <rPr>
        <sz val="8"/>
        <color rgb="FF000000"/>
        <rFont val="Tahoma"/>
      </rPr>
      <t>Masuk Pasar Modern (Domestik)</t>
    </r>
  </si>
  <si>
    <t>Komoditas_Pangan_Unggulan_Kedua_Domestik</t>
  </si>
  <si>
    <r>
      <t xml:space="preserve">b. Total Tanaman Pangan Unggulan </t>
    </r>
    <r>
      <rPr>
        <b/>
        <sz val="8"/>
        <color rgb="FF000000"/>
        <rFont val="Tahoma"/>
      </rPr>
      <t xml:space="preserve">Kedua </t>
    </r>
    <r>
      <rPr>
        <sz val="8"/>
        <color rgb="FF000000"/>
        <rFont val="Tahoma"/>
      </rPr>
      <t>yang dipasarkan ke Pasar Modern dalam 1 Tahun Terakhir</t>
    </r>
  </si>
  <si>
    <t>Total_Pangan_Unggulan_Kedua_Masuk_Pasar_Domestik</t>
  </si>
  <si>
    <r>
      <t xml:space="preserve">c. Wilayah Tujuan Perdagangan Tanaman Pangan Unggulan </t>
    </r>
    <r>
      <rPr>
        <b/>
        <sz val="8"/>
        <color rgb="FF000000"/>
        <rFont val="Tahoma"/>
      </rPr>
      <t>Kedua</t>
    </r>
  </si>
  <si>
    <t>Wilayah_Tujuan_Pasar_Domestik_Pangan_Unggulan_Kedua</t>
  </si>
  <si>
    <t>Pasar Domestik Tanaman Buah</t>
  </si>
  <si>
    <r>
      <t xml:space="preserve">a. Komoditas Tanaman Buah Unggulan </t>
    </r>
    <r>
      <rPr>
        <b/>
        <sz val="8"/>
        <color rgb="FF000000"/>
        <rFont val="Tahoma"/>
      </rPr>
      <t xml:space="preserve">Pertama </t>
    </r>
    <r>
      <rPr>
        <sz val="8"/>
        <color rgb="FF000000"/>
        <rFont val="Tahoma"/>
      </rPr>
      <t>Masuk Pasar Modern (Domestik)</t>
    </r>
  </si>
  <si>
    <t>Komoditas_Buah_Unggulan_Pertama_Domestik</t>
  </si>
  <si>
    <r>
      <t xml:space="preserve">b. Total Tanaman Buah Unggulan </t>
    </r>
    <r>
      <rPr>
        <b/>
        <sz val="8"/>
        <color rgb="FF000000"/>
        <rFont val="Tahoma"/>
      </rPr>
      <t xml:space="preserve">Pertama </t>
    </r>
    <r>
      <rPr>
        <sz val="8"/>
        <color rgb="FF000000"/>
        <rFont val="Tahoma"/>
      </rPr>
      <t>yang dipasarkan ke Pasar Modern dalam 1 Tahun Terakhir</t>
    </r>
  </si>
  <si>
    <t>Total_Buah_Unggulan_Pertama_Masuk_Pasar_Domestik</t>
  </si>
  <si>
    <r>
      <t xml:space="preserve">c. Wilayah Tujuan Pasar Domestik Perdagangan Tanaman Buah Unggulan </t>
    </r>
    <r>
      <rPr>
        <b/>
        <sz val="8"/>
        <color rgb="FF000000"/>
        <rFont val="Tahoma"/>
      </rPr>
      <t>Pertama</t>
    </r>
  </si>
  <si>
    <t>Wilayah_Tujuan_Pasar_Domestik_Buah_Unggulan_Pertama</t>
  </si>
  <si>
    <r>
      <t xml:space="preserve">a. Komoditas Tanaman Buah Unggulan </t>
    </r>
    <r>
      <rPr>
        <b/>
        <sz val="8"/>
        <color rgb="FF000000"/>
        <rFont val="Tahoma"/>
      </rPr>
      <t xml:space="preserve">Kedua </t>
    </r>
    <r>
      <rPr>
        <sz val="8"/>
        <color rgb="FF000000"/>
        <rFont val="Tahoma"/>
      </rPr>
      <t>Masuk Pasar Modern (Domestik)</t>
    </r>
  </si>
  <si>
    <t>Komoditas_Buah_Unggulan_Kedua_Domestik</t>
  </si>
  <si>
    <r>
      <t xml:space="preserve">b. Jumlah Tanaman Pangan Unggulan </t>
    </r>
    <r>
      <rPr>
        <b/>
        <sz val="8"/>
        <color rgb="FF000000"/>
        <rFont val="Tahoma"/>
      </rPr>
      <t xml:space="preserve">Kedua </t>
    </r>
    <r>
      <rPr>
        <sz val="8"/>
        <color rgb="FF000000"/>
        <rFont val="Tahoma"/>
      </rPr>
      <t>yang dipasarkan ke Pasar Modern dalam 1 Tahun Terakhir</t>
    </r>
  </si>
  <si>
    <t>Total_Buah_Unggulan_Kedua_Masuk_Pasar_Domestik</t>
  </si>
  <si>
    <r>
      <t xml:space="preserve">c. Wilayah Tujuan Perdagangan Tanaman Buah Unggulan </t>
    </r>
    <r>
      <rPr>
        <b/>
        <sz val="8"/>
        <color rgb="FF000000"/>
        <rFont val="Tahoma"/>
      </rPr>
      <t>Kedua</t>
    </r>
  </si>
  <si>
    <t>Wilayah_Tujuan_Pasar_Domestik_Buah_Unggulan_Kedua</t>
  </si>
  <si>
    <t>Pasar Domestik Tanaman Sayur</t>
  </si>
  <si>
    <r>
      <t xml:space="preserve">a. Komoditas Tanaman Sayur Unggulan </t>
    </r>
    <r>
      <rPr>
        <b/>
        <sz val="8"/>
        <color rgb="FF000000"/>
        <rFont val="Tahoma"/>
      </rPr>
      <t xml:space="preserve">Pertama </t>
    </r>
    <r>
      <rPr>
        <sz val="8"/>
        <color rgb="FF000000"/>
        <rFont val="Tahoma"/>
      </rPr>
      <t>Masuk Pasar Modern (Domestik)</t>
    </r>
  </si>
  <si>
    <t>Komoditas_Sayur_Unggulan_Pertama_Domestik</t>
  </si>
  <si>
    <r>
      <t xml:space="preserve">b. Total Tanaman Sayur Unggulan </t>
    </r>
    <r>
      <rPr>
        <b/>
        <sz val="8"/>
        <color rgb="FF000000"/>
        <rFont val="Tahoma"/>
      </rPr>
      <t xml:space="preserve">Pertama </t>
    </r>
    <r>
      <rPr>
        <sz val="8"/>
        <color rgb="FF000000"/>
        <rFont val="Tahoma"/>
      </rPr>
      <t>yang dipasarkan ke Pasar Modern dalam 1 Tahun Terakhir</t>
    </r>
  </si>
  <si>
    <t>Total_Sayur_Unggulan_Pertama_Masuk_Pasar_Domestik</t>
  </si>
  <si>
    <r>
      <t xml:space="preserve">c. Wilayah Tujuan Pasar Domestik Perdagangan Tanaman Sayur Unggulan </t>
    </r>
    <r>
      <rPr>
        <b/>
        <sz val="8"/>
        <color rgb="FF000000"/>
        <rFont val="Tahoma"/>
      </rPr>
      <t>Pertama</t>
    </r>
  </si>
  <si>
    <t>Wilayah_Tujuan_Pasar_Domestik_Sayur_Unggulan_Pertama</t>
  </si>
  <si>
    <t xml:space="preserve">Tidak ada </t>
  </si>
  <si>
    <r>
      <t xml:space="preserve">a. Komoditas Tanaman Sayur Unggulan </t>
    </r>
    <r>
      <rPr>
        <b/>
        <sz val="8"/>
        <color rgb="FF000000"/>
        <rFont val="Tahoma"/>
      </rPr>
      <t xml:space="preserve">Kedua </t>
    </r>
    <r>
      <rPr>
        <sz val="8"/>
        <color rgb="FF000000"/>
        <rFont val="Tahoma"/>
      </rPr>
      <t>Masuk Pasar Modern (Domestik)</t>
    </r>
  </si>
  <si>
    <t>Komoditas_Sayur_Unggulan_Kedua_Domestik</t>
  </si>
  <si>
    <r>
      <t xml:space="preserve">b. TotalTanaman Sayur Unggulan </t>
    </r>
    <r>
      <rPr>
        <b/>
        <sz val="8"/>
        <color rgb="FF000000"/>
        <rFont val="Tahoma"/>
      </rPr>
      <t xml:space="preserve">Kedua </t>
    </r>
    <r>
      <rPr>
        <sz val="8"/>
        <color rgb="FF000000"/>
        <rFont val="Tahoma"/>
      </rPr>
      <t>yang dipasarkan ke Pasar Modern dalam 1 Tahun Terakhir</t>
    </r>
  </si>
  <si>
    <t>Total_Sayur_Unggulan_Kedua_Masuk_Pasar_Domestik</t>
  </si>
  <si>
    <r>
      <t xml:space="preserve">c. Wilayah Tujuan Perdagangan Tanaman Sayur Unggulan </t>
    </r>
    <r>
      <rPr>
        <b/>
        <sz val="8"/>
        <color rgb="FF000000"/>
        <rFont val="Tahoma"/>
      </rPr>
      <t>Kedua</t>
    </r>
  </si>
  <si>
    <t>Wilayah_Tujuan_Pasar_Domestik_Sayur_Unggulan_Kedua</t>
  </si>
  <si>
    <t>Pasar Domestik Tanaman Obat</t>
  </si>
  <si>
    <r>
      <t xml:space="preserve">a. Komoditas Tanaman Obat Unggulan </t>
    </r>
    <r>
      <rPr>
        <b/>
        <sz val="8"/>
        <color rgb="FF000000"/>
        <rFont val="Tahoma"/>
      </rPr>
      <t xml:space="preserve">Pertama </t>
    </r>
    <r>
      <rPr>
        <sz val="8"/>
        <color rgb="FF000000"/>
        <rFont val="Tahoma"/>
      </rPr>
      <t>Masuk Pasar Modern (Domestik)</t>
    </r>
  </si>
  <si>
    <t>Komoditas_Tanaman_Obat_Unggulan_Pertama_Domestik</t>
  </si>
  <si>
    <r>
      <t xml:space="preserve">b. Total Tanaman Obat Unggulan </t>
    </r>
    <r>
      <rPr>
        <b/>
        <sz val="8"/>
        <color rgb="FF000000"/>
        <rFont val="Tahoma"/>
      </rPr>
      <t xml:space="preserve">Pertama </t>
    </r>
    <r>
      <rPr>
        <sz val="8"/>
        <color rgb="FF000000"/>
        <rFont val="Tahoma"/>
      </rPr>
      <t>yang dipasarkan ke Pasar Modern dalam 1 Tahun Terakhir</t>
    </r>
  </si>
  <si>
    <t>Total_Tanaman_Obat_Unggulan_Pertama_Masuk_Pasar_Domestik</t>
  </si>
  <si>
    <r>
      <t xml:space="preserve">c. Wilayah Tujuan Pasar Domestik Perdagangan Tanaman Obat Unggulan </t>
    </r>
    <r>
      <rPr>
        <b/>
        <sz val="8"/>
        <color rgb="FF000000"/>
        <rFont val="Tahoma"/>
      </rPr>
      <t>Pertama</t>
    </r>
  </si>
  <si>
    <t>Wilayah_Tujuan_Pasar_Domestik_Tanaman_Obat_Unggulan_Pertama</t>
  </si>
  <si>
    <r>
      <t xml:space="preserve">a. Komoditas Tanaman Obat Unggulan </t>
    </r>
    <r>
      <rPr>
        <b/>
        <sz val="8"/>
        <color rgb="FF000000"/>
        <rFont val="Tahoma"/>
      </rPr>
      <t xml:space="preserve">Kedua </t>
    </r>
    <r>
      <rPr>
        <sz val="8"/>
        <color rgb="FF000000"/>
        <rFont val="Tahoma"/>
      </rPr>
      <t>Masuk Pasar Modern (Domestik)</t>
    </r>
  </si>
  <si>
    <t>Komoditas_Obat_Unggulan_Kedua_Domestik</t>
  </si>
  <si>
    <r>
      <t xml:space="preserve">b. Total Tanaman Obat Unggulan </t>
    </r>
    <r>
      <rPr>
        <b/>
        <sz val="8"/>
        <color rgb="FF000000"/>
        <rFont val="Tahoma"/>
      </rPr>
      <t xml:space="preserve">Kedua </t>
    </r>
    <r>
      <rPr>
        <sz val="8"/>
        <color rgb="FF000000"/>
        <rFont val="Tahoma"/>
      </rPr>
      <t>yang dipasarkan ke Pasar Modern dalam 1 Tahun Terakhir</t>
    </r>
  </si>
  <si>
    <t>Total_Tanaman_Obat_Unggulan_Kedua_Masuk_Pasar_Domestik</t>
  </si>
  <si>
    <r>
      <t xml:space="preserve">c. Wilayah Tujuan Perdagangan Tanaman Obat Unggulan </t>
    </r>
    <r>
      <rPr>
        <b/>
        <sz val="8"/>
        <color rgb="FF000000"/>
        <rFont val="Tahoma"/>
      </rPr>
      <t>Kedua</t>
    </r>
  </si>
  <si>
    <t>Wilayah_Tujuan_Pasar_Domestik_Tanaman_Obat_Unggulan_Kedua</t>
  </si>
  <si>
    <t>Komoditas yang telah Masuk Pasar Modern (Ekspor)</t>
  </si>
  <si>
    <t>Pasar Ekspor Tanaman Pangan</t>
  </si>
  <si>
    <r>
      <t xml:space="preserve">a. Komoditas Tanaman Pangan Unggulan </t>
    </r>
    <r>
      <rPr>
        <b/>
        <sz val="8"/>
        <color rgb="FF000000"/>
        <rFont val="Tahoma"/>
      </rPr>
      <t xml:space="preserve">Pertama </t>
    </r>
    <r>
      <rPr>
        <sz val="8"/>
        <color rgb="FF000000"/>
        <rFont val="Tahoma"/>
      </rPr>
      <t>Masuk Pasar Modern (Ekspor)</t>
    </r>
  </si>
  <si>
    <t>Komoditas_Pangan_Unggulan_Pertama_Ekspor</t>
  </si>
  <si>
    <t>Total_Pangan_Unggulan_Pertama_Masuk_Pasar_Ekspor</t>
  </si>
  <si>
    <t>Wilayah_Tujuan_Pasar_Ekspor__Pangan_Unggulan_Pertama</t>
  </si>
  <si>
    <r>
      <t xml:space="preserve">a. Komoditas Tanaman Pangan Unggulan </t>
    </r>
    <r>
      <rPr>
        <b/>
        <sz val="8"/>
        <color rgb="FF000000"/>
        <rFont val="Tahoma"/>
      </rPr>
      <t xml:space="preserve">Kedua </t>
    </r>
    <r>
      <rPr>
        <sz val="8"/>
        <color rgb="FF000000"/>
        <rFont val="Tahoma"/>
      </rPr>
      <t>Masuk Pasar Modern (Ekspor)</t>
    </r>
  </si>
  <si>
    <t>Komoditas_Pangan_Unggulan_Kedua_Ekspor</t>
  </si>
  <si>
    <t>Total_Pangan_Unggulan_Kedua_Masuk_Pasar_Ekspor</t>
  </si>
  <si>
    <t>Wilayah_Tujuan_Pasar_Ekspor_Pangan_Unggulan_Kedua</t>
  </si>
  <si>
    <t>Pasar Ekspor Tanaman Buah</t>
  </si>
  <si>
    <t>Komoditas_Buah_Unggulan_Pertama_Ekspor</t>
  </si>
  <si>
    <t>Total_Buah_Unggulan_Pertama_Masuk_Pasar_Ekspor</t>
  </si>
  <si>
    <t>Wilayah_Tujuan_Pasar_Ekspor_Buah_Unggulan_Pertama</t>
  </si>
  <si>
    <t>tidak ada</t>
  </si>
  <si>
    <t>Komoditas_Buah_Unggulan_Kedua_Ekspor</t>
  </si>
  <si>
    <t>Total_Buah_Unggulan_Kedua_Masuk_Pasar_Ekspor</t>
  </si>
  <si>
    <t>Wilayah_Tujuan_Pasar_Ekspor_Buah_Unggulan_Kedua</t>
  </si>
  <si>
    <t>Pasar Ekspor Tanaman Sayuran</t>
  </si>
  <si>
    <t>Komoditas_Sayur_Unggulan_Pertama_Ekspor</t>
  </si>
  <si>
    <t>Total_Sayur_Unggulan_Pertama_Masuk_Pasar_Ekspor</t>
  </si>
  <si>
    <t>Wilayah_Tujuan_Pasar_Ekspor_Sayur_Unggulan_Pertama</t>
  </si>
  <si>
    <t>Komoditas_Sayur_Unggulan_Kedua_Ekspor</t>
  </si>
  <si>
    <t>Total_Sayur_Unggulan_Kedua_Masuk_Pasar_Ekspor</t>
  </si>
  <si>
    <t>Wilayah_Tujuan_Pasar_Ekspor_Sayur_Unggulan_Kedua</t>
  </si>
  <si>
    <t>Pasar Tanaman Obat</t>
  </si>
  <si>
    <t>Komoditas_Tanaman_Obat_Unggulan_Pertama_Ekspor</t>
  </si>
  <si>
    <t>Total_Tanaman_Obat_Unggulan_Pertama_Masuk_Pasar_Ekspor</t>
  </si>
  <si>
    <t>Wilayah_Tujuan_Pasar_Ekspor_Tanaman_Obat_Unggulan_Pertama</t>
  </si>
  <si>
    <t>Komoditas_Obat_Unggulan_Kedua_Ekspor</t>
  </si>
  <si>
    <t>Total_Tanaman_Obat_Unggulan_Kedua_Masuk_Pasar_Ekspor</t>
  </si>
  <si>
    <t>Wilayah_Tujuan_Pasar_Ekspor_Tanaman_Obat_Unggulan_Kedua</t>
  </si>
  <si>
    <t>2</t>
  </si>
  <si>
    <t>a. Perubahan (meningkat/menurun) produk komoditi pertanian</t>
  </si>
  <si>
    <t>Perubahan_tani</t>
  </si>
  <si>
    <t>Ya- Terdapat Peningkatan</t>
  </si>
  <si>
    <t>b. Produk Komiditi pertanian yang mengalami peningkatan/penurunan</t>
  </si>
  <si>
    <t>Naik/Turun_Produk_Komoditi</t>
  </si>
  <si>
    <t>Buah Kelor</t>
  </si>
  <si>
    <t>a. Terdapat produksi hasil tangkapan laut</t>
  </si>
  <si>
    <t>Produk_laut</t>
  </si>
  <si>
    <t>3</t>
  </si>
  <si>
    <t>b. Perubahan (meningkat/menurun) produksi hasil tangkapan laut</t>
  </si>
  <si>
    <t>Perubahan_laut</t>
  </si>
  <si>
    <t>E 514.a</t>
  </si>
  <si>
    <t>Industri Kecil dan Menengah</t>
  </si>
  <si>
    <t>a. Jumlah industri mikro dan kecil komoditas industri rumah tangga</t>
  </si>
  <si>
    <t>UMikroKecil_Industri_RT</t>
  </si>
  <si>
    <t>b. Jumlah industri mikro dan kecil komoditas pariwisata</t>
  </si>
  <si>
    <t>UMikroKecil_Pariwisata</t>
  </si>
  <si>
    <t>c. Jumlah industri mikro dan kecil komoditas perikanan</t>
  </si>
  <si>
    <t>UMikroKecil_Perikanan</t>
  </si>
  <si>
    <t>d. Jumlah industri mikro dan kecil komoditas pertanian</t>
  </si>
  <si>
    <t>UMikroKecil_Pertanian</t>
  </si>
  <si>
    <t>e. Jumlah industri mikro dan kecil komoditas peternakan</t>
  </si>
  <si>
    <t>UMikroKecil_Peternakan</t>
  </si>
  <si>
    <t>f. Jumlah industri mikro dan kecil Lainnya di Desa</t>
  </si>
  <si>
    <t>UMikroKecil_Lainnya</t>
  </si>
  <si>
    <t>g. Total industri mikro dan kecil di Desa</t>
  </si>
  <si>
    <t>Total_UMikroKecil</t>
  </si>
  <si>
    <t>Skor Ragam Produksi</t>
  </si>
  <si>
    <t>h. Total industri menengah di Desa</t>
  </si>
  <si>
    <t>UMenengah</t>
  </si>
  <si>
    <t>Sarana dan Prasarana Ekonomi di Desa</t>
  </si>
  <si>
    <t>a. Mayoritas Peralatan Teknologi Tepat Guna pertanian yang digunakan di Desa</t>
  </si>
  <si>
    <t>Mayoritas_TTG_Pertanian</t>
  </si>
  <si>
    <t>12. Bukan Desa Pertanian</t>
  </si>
  <si>
    <t>a1. Jumlah peralatan Tekonologi Tepat Guna pertanian di Desa</t>
  </si>
  <si>
    <t>Jlh_alat_mayoritas_Pertanian</t>
  </si>
  <si>
    <t>E 516.a</t>
  </si>
  <si>
    <t>b. Mayoritas Peralatan Teknologi Tepat Guna petenakan yang digunakan di Desa</t>
  </si>
  <si>
    <t>Mayoritas_TTG_Perternakan</t>
  </si>
  <si>
    <t>b1. Jumlah alat bantu Tekonologi Tepat Guna  peternakan di Desa</t>
  </si>
  <si>
    <t>Jlh_alat_mayoritas_Perternakan</t>
  </si>
  <si>
    <t>E 516.b</t>
  </si>
  <si>
    <t>c. Mayoritas Peralatan Teknologi Tepat Guna perikanan yang digunakan di Desa</t>
  </si>
  <si>
    <t>Mayoritas_TTG_Perikanan</t>
  </si>
  <si>
    <t>c1. Jumlah alat bantu Tekonologi Tepat Guna  Perikanan di Desa</t>
  </si>
  <si>
    <t>Jlh_alat_mayoritas_Perikanan</t>
  </si>
  <si>
    <t>E 516.c</t>
  </si>
  <si>
    <t>Akses Ke Pusat Perdagangan</t>
  </si>
  <si>
    <t>a. Ketersediaan kelompok pertokoan di Desa</t>
  </si>
  <si>
    <t>Kel_Toko</t>
  </si>
  <si>
    <t>b. Jarak ke kelompok pertokoan terdekat</t>
  </si>
  <si>
    <t>Jarak_kelToko</t>
  </si>
  <si>
    <t>Skor Pertokoan</t>
  </si>
  <si>
    <t>max 150rb</t>
  </si>
  <si>
    <t>Jumlah pasar dengan bangunan permanen</t>
  </si>
  <si>
    <t>Pasar_permanen</t>
  </si>
  <si>
    <t>Skor Pasar</t>
  </si>
  <si>
    <t>Jumlah pasar dengan bangunan semi permanen</t>
  </si>
  <si>
    <t>Pasar_semipermanen</t>
  </si>
  <si>
    <t>a. Terdapat pasar tanpa bangunan di Desa</t>
  </si>
  <si>
    <t>Pasar_tnpBangunan</t>
  </si>
  <si>
    <t>b. Jumlah pasar tanpa bangunan di Desa</t>
  </si>
  <si>
    <t>Jml_Pasar_ tnpBangunan</t>
  </si>
  <si>
    <t>E 520.a</t>
  </si>
  <si>
    <t>Jumlah toko / warung kelontong di Desa</t>
  </si>
  <si>
    <t>TokoKelontong</t>
  </si>
  <si>
    <t>Skor Toko/Warung</t>
  </si>
  <si>
    <t>max 300</t>
  </si>
  <si>
    <t>Terdapat warung / kedai makanan dan minuman di Desa</t>
  </si>
  <si>
    <t>Kedai_MakMin</t>
  </si>
  <si>
    <t>Skor Kedai &amp; Penginapan</t>
  </si>
  <si>
    <t>a. Terdapat hotel / penginapan di Desa</t>
  </si>
  <si>
    <t>Hotel</t>
  </si>
  <si>
    <t xml:space="preserve">b. Jarak ke hotel / penginapan terdekat </t>
  </si>
  <si>
    <t>Jarak_hotel</t>
  </si>
  <si>
    <t>c. Waktu tempuh menuju hotel / penginapan terdekat</t>
  </si>
  <si>
    <t>Menit_hotel</t>
  </si>
  <si>
    <t>max 240</t>
  </si>
  <si>
    <t>Terdapat Masyarakat yang memanfaatkan Biogas</t>
  </si>
  <si>
    <t>Biogas</t>
  </si>
  <si>
    <t>Terdapat Agen Penjual LPG/Minyak Tanah/</t>
  </si>
  <si>
    <t>Agen_LPG/Mita</t>
  </si>
  <si>
    <t>Mayoritas Bahan Bakar Memasak untuk kebutuhan keluarga</t>
  </si>
  <si>
    <t>BB_Masak</t>
  </si>
  <si>
    <t>Bahan bakar Masak Lainnya</t>
  </si>
  <si>
    <t>BB_ Lainnya</t>
  </si>
  <si>
    <t>Kayu bakar  dan Arang</t>
  </si>
  <si>
    <t>Akses Distribusi / Logistik</t>
  </si>
  <si>
    <t>a. Terdapat pelayanan kantor pos / pos pembantu / rumah pos / pos keliling di Desa</t>
  </si>
  <si>
    <t>Pos</t>
  </si>
  <si>
    <t>Skor Pos &amp; Logistik</t>
  </si>
  <si>
    <t>b. Jarak Layanan kantor pos / pos pembantu / rumah pos / pos keliling di Desa</t>
  </si>
  <si>
    <t>Jarak_Pos</t>
  </si>
  <si>
    <t>Max 250rb</t>
  </si>
  <si>
    <t>a. Terdapat pelayanan jasa ekspedisi di Desa</t>
  </si>
  <si>
    <t>Jasa_ekspedisi</t>
  </si>
  <si>
    <t>b. Jarak pelayanan jasa ekspedisi di Desa</t>
  </si>
  <si>
    <t>Jarak_Jasa_ekspedisi</t>
  </si>
  <si>
    <t>Gudang Pangan di desa</t>
  </si>
  <si>
    <t>a. Terdapat Gudang Pangan Milik Pribadi</t>
  </si>
  <si>
    <t>Gudang_Milik_Pribadi</t>
  </si>
  <si>
    <t>b. Jumlah Gudang Pangan Milik Pribadi di desa</t>
  </si>
  <si>
    <t>Jlh_Gudang_Pribadi</t>
  </si>
  <si>
    <t>E 530.a</t>
  </si>
  <si>
    <t>c. Total Kapasitas Gudang Pangan Milik Pribadi di desa</t>
  </si>
  <si>
    <t>Total_Kapasitas_Gudang_Pribadi</t>
  </si>
  <si>
    <t>Ton</t>
  </si>
  <si>
    <t>d. Luas Gudang Pangan Milik Pribadi di Desa</t>
  </si>
  <si>
    <t>Luas_Gudang_Pribadi</t>
  </si>
  <si>
    <r>
      <t>m</t>
    </r>
    <r>
      <rPr>
        <vertAlign val="superscript"/>
        <sz val="8"/>
        <color rgb="FF000000"/>
        <rFont val="Tahoma"/>
      </rPr>
      <t>2</t>
    </r>
  </si>
  <si>
    <t>a. Terdapat Gudang Pangan Milik Swasta</t>
  </si>
  <si>
    <t>Gudang_Milik_Swasta</t>
  </si>
  <si>
    <t>b. Jumlah Gudang Pangan Milik Swasta di desa</t>
  </si>
  <si>
    <t>Jlh_Gudang_Swasta</t>
  </si>
  <si>
    <t>E 531.a</t>
  </si>
  <si>
    <t>c. Total Kapasitas Gudang Pangan Milik Swasta di desa</t>
  </si>
  <si>
    <t>Total_Kapasitas_Gudang_Swasta</t>
  </si>
  <si>
    <t>d. Luas Gudang Pangan Milik Swasta di Desa</t>
  </si>
  <si>
    <t>Luas_Gudang_Swasta</t>
  </si>
  <si>
    <t>a. Terdapat Gudang Pangan Milik Pemerintah</t>
  </si>
  <si>
    <t>Gudang_Milik_Pemerintah</t>
  </si>
  <si>
    <t>b. Jumlah Gudang Pangan Milik Pemerintah di desa</t>
  </si>
  <si>
    <t>Jlh_Gudang_Pemerintah</t>
  </si>
  <si>
    <t>E 532.a</t>
  </si>
  <si>
    <t>c. Total Kapasitas Gudang Pangan Milik Pemerintah di desa</t>
  </si>
  <si>
    <t>Total_Kapasitas_Gudang_Pemerintah</t>
  </si>
  <si>
    <t>d. Luas Gudang Pangan Milik Pemerintah di Desa</t>
  </si>
  <si>
    <t>Luas_Gudang_Pemerintah</t>
  </si>
  <si>
    <t>Akses Lembaga Keuangan</t>
  </si>
  <si>
    <t>a. Terdapat Layanan Bank Umum Pemerintah di Desa</t>
  </si>
  <si>
    <t>Bank_Pemr</t>
  </si>
  <si>
    <t>Skor Bank &amp; BPR</t>
  </si>
  <si>
    <t>b. Jarak Pelayanan Bank Umum Pemerintah Terdekat</t>
  </si>
  <si>
    <t>Jarak_Bank_Pemr_Tdekat</t>
  </si>
  <si>
    <t>a. Terdapat Layanan Bank Swasta di Desa</t>
  </si>
  <si>
    <t>Bank_Swasta</t>
  </si>
  <si>
    <t>b. Jarak pelayanan Bank Swasta Terdekat</t>
  </si>
  <si>
    <t>Jarak_Bank_Swasta_Tdekat</t>
  </si>
  <si>
    <t>Terdapat Layanan BPR di Desa</t>
  </si>
  <si>
    <t>BPR</t>
  </si>
  <si>
    <t>a. Terdapat Layanan Fasilitas Kredit Berupa KUR</t>
  </si>
  <si>
    <t>KUR</t>
  </si>
  <si>
    <t>Skor Kredit</t>
  </si>
  <si>
    <t xml:space="preserve">b. Terdapat Layanan Fasilitas Kredit Berupa KKP-E </t>
  </si>
  <si>
    <t>KKPE</t>
  </si>
  <si>
    <t xml:space="preserve">c. Terdapat Layanan Fasilitas Kredit Berupa KUK </t>
  </si>
  <si>
    <t>KUK</t>
  </si>
  <si>
    <t>d. Terdapat Layanan Fasilitas Kredit Lainnya</t>
  </si>
  <si>
    <t>Kredit_lain</t>
  </si>
  <si>
    <t>Kredit_lain_sebutkan</t>
  </si>
  <si>
    <t>Ketersediaan Lembaga Ekonomi</t>
  </si>
  <si>
    <t>Jumlah Koperasi di Desa yang aktif beroperasi</t>
  </si>
  <si>
    <t>Kop_aktif</t>
  </si>
  <si>
    <t>Skor Lembaga Ekonomi</t>
  </si>
  <si>
    <t>a. Terdapat BUMDesa</t>
  </si>
  <si>
    <t>BUMDes</t>
  </si>
  <si>
    <t>b. Nama BUMDesa</t>
  </si>
  <si>
    <t>Nama_Bumdes</t>
  </si>
  <si>
    <t>Berdaya Bira</t>
  </si>
  <si>
    <t>c. Status Bumdesa (Aktif/Tidak Aktif)</t>
  </si>
  <si>
    <t>Status_Bumdesa</t>
  </si>
  <si>
    <t>E 538.a</t>
  </si>
  <si>
    <t>a. Keikutsertaan Desa Terhadap BUMDesa Bersama</t>
  </si>
  <si>
    <t>Bumdes_Bersama</t>
  </si>
  <si>
    <t>b. Nama BUMDesa Bersama</t>
  </si>
  <si>
    <t>Nama_Bumdes_Bersama</t>
  </si>
  <si>
    <t>Panrita Lopi</t>
  </si>
  <si>
    <t xml:space="preserve">c.Terdapat Kantor Bumdesa Bersama di Desa </t>
  </si>
  <si>
    <t>Kantor_Bumdesa_Bersama</t>
  </si>
  <si>
    <t>d. Status Bumdesa Bersama (Aktif/Tidak Aktif)</t>
  </si>
  <si>
    <t>Status_Bumdesa_Bersama</t>
  </si>
  <si>
    <t>E 539.a</t>
  </si>
  <si>
    <t>a. BUMDesa Bisnis Sosial</t>
  </si>
  <si>
    <t>Bumdes_Bid_BisnisSosial</t>
  </si>
  <si>
    <t>b. Terdapat Bumdesa Bisnis Sosial Bidang Air Bersih</t>
  </si>
  <si>
    <t>BisnisSosial_AirBersih</t>
  </si>
  <si>
    <t>E 540.a</t>
  </si>
  <si>
    <t>c. Terdapat Bumdesa Bisnis Sosial Bidang Listrik</t>
  </si>
  <si>
    <t>BisnisSosial_Listrik</t>
  </si>
  <si>
    <t>d. Terdapat Bumdesa Bisnis Sosial Bidang Sampah</t>
  </si>
  <si>
    <t>BisnisSosial_Sampah</t>
  </si>
  <si>
    <t>e. Terdapat Bumdesa Bisnis Sosial Bidang Jasa</t>
  </si>
  <si>
    <t>BisnisSosial_Jasa</t>
  </si>
  <si>
    <t>a. BUMDesa Jasa Penyewaan</t>
  </si>
  <si>
    <t>Bumdes_Bid_Jasa_Sewa</t>
  </si>
  <si>
    <t>b. Terdapat Bumdesa Jasa Sewa Gedung</t>
  </si>
  <si>
    <t>Jasa_Penyewaan_Gedung</t>
  </si>
  <si>
    <t>E 541.a</t>
  </si>
  <si>
    <t>c. Terdapat Bumdesa Jasa Sewa Tenda</t>
  </si>
  <si>
    <t>Jasa_Penyewaan_Tenda</t>
  </si>
  <si>
    <t>d. Terdapat Bumdesa Jasa Sewa Peralatan Sound System</t>
  </si>
  <si>
    <t>Jasa_Penyewaan_Peralatan_SoundSystem</t>
  </si>
  <si>
    <t>e. Terdapat Bumdesa Jasa Sewa Peralatan Lainnya</t>
  </si>
  <si>
    <t>Jasa_Penyewaan_Peralatan</t>
  </si>
  <si>
    <t>a. BUMDesa Perdagangan</t>
  </si>
  <si>
    <t>Bumdes_Bid_Perdagangan</t>
  </si>
  <si>
    <t>b. Terdapat Bumdesa Perdagangan Bidang Pertanian</t>
  </si>
  <si>
    <t>Perdagangan_Pertanian</t>
  </si>
  <si>
    <t>E 542.a</t>
  </si>
  <si>
    <t>c. Sebutkan Bumdesa Perdagangan Bidang Pertanian</t>
  </si>
  <si>
    <t>Sebut_Perdagangan_Pertanian</t>
  </si>
  <si>
    <t>d. Terdapat Bumdesa Perdagangan Bidang Perkebunan</t>
  </si>
  <si>
    <t>Perdagangan_Perkebunan</t>
  </si>
  <si>
    <t>e. Sebutkan Bumdesa Perdagangan Bidang Perkebunan</t>
  </si>
  <si>
    <t>Sebut_Perdagangan_Perkebunan</t>
  </si>
  <si>
    <t>f. Terdapat Bumdesa Perdagangan Bidang Peternakan</t>
  </si>
  <si>
    <t>Perdagangan_Peternakan</t>
  </si>
  <si>
    <t>g. Sebutkan Bumdesa Perdagangan Bidang Peternakan</t>
  </si>
  <si>
    <t>Sebut_Perdagangan_Peternakan</t>
  </si>
  <si>
    <t>h. Terdapat Bumdesa Perdagangan Bidang Sembako</t>
  </si>
  <si>
    <t>Perdagangan_Sembako</t>
  </si>
  <si>
    <t>a. BUMDesa Keuangan</t>
  </si>
  <si>
    <t>Bumdes_Bid_Keuangan</t>
  </si>
  <si>
    <t>b. Terdapat Bumdesa Keuangan Simpan Pinjam</t>
  </si>
  <si>
    <t>Keuangan_SimpanPinjam</t>
  </si>
  <si>
    <t>E 543.a</t>
  </si>
  <si>
    <t>c. Terdapat Bumdesa Keuangan UED SP</t>
  </si>
  <si>
    <t>Keuangan_UEDSP</t>
  </si>
  <si>
    <t>d. Terdapat Bumdesa Keuangan Mikro Finance</t>
  </si>
  <si>
    <t>Keuangan_MikroFinance</t>
  </si>
  <si>
    <t>e. Terdapat Bumdesa Keuangan Brilink</t>
  </si>
  <si>
    <t>Keuangan_BRILink</t>
  </si>
  <si>
    <t>f. Terdapat Bumdesa Keuangan Agen 46</t>
  </si>
  <si>
    <t>Keuangan_Agen46</t>
  </si>
  <si>
    <t xml:space="preserve">g. Terdapat Bumdesa Keuangan Kredit </t>
  </si>
  <si>
    <t>Keuangan_Kredit</t>
  </si>
  <si>
    <t>h. Terdapat Bumdesa Keuangan Koperasi</t>
  </si>
  <si>
    <t>Keuangan_Koperasi</t>
  </si>
  <si>
    <t>i. Terdapat Bumdesa Keuangan PPOB</t>
  </si>
  <si>
    <t>Keuangan_PPOB</t>
  </si>
  <si>
    <t>a. BUMDesa Perantara (Layanan)</t>
  </si>
  <si>
    <t>Bumdes_Bid_Jasa_Perantara</t>
  </si>
  <si>
    <t>b. Terdapat Bumdesa Perantara Bidang Jasa</t>
  </si>
  <si>
    <t>Jasa_Perantara_Jasa</t>
  </si>
  <si>
    <t>E 544.a</t>
  </si>
  <si>
    <t>c. Terdapat Bumdesa Perantara Bidang Perbengkelan</t>
  </si>
  <si>
    <t>Jasa_Perantara_Perbengkelan</t>
  </si>
  <si>
    <t>d. Terdapat Bumdesa Perantara Toko/Kios</t>
  </si>
  <si>
    <t>Jasa_Perantara_Toko/Kios</t>
  </si>
  <si>
    <t>e. Terdapat Bumdesa Perantara Bidang Percetakan</t>
  </si>
  <si>
    <t>Jasa_Perantara_Percetakan</t>
  </si>
  <si>
    <t>f. Terdapat Bumdesa Perantara Bidang Photo Copy</t>
  </si>
  <si>
    <t>Jasa_Perantara_PhotoCopy</t>
  </si>
  <si>
    <t>g. Terdapat Bumdesa Perantara Bidang Penggilingan Padi</t>
  </si>
  <si>
    <t>Jasa_Perantara_Penggilingan Padi</t>
  </si>
  <si>
    <t>a. BUMDesa Usaha</t>
  </si>
  <si>
    <t>Bumdes_Bid_Usaha</t>
  </si>
  <si>
    <t>b. Terdapat Bumdesa Usaha Bidang Kelompok Usaha</t>
  </si>
  <si>
    <t>Usaha_KelompokUsaha</t>
  </si>
  <si>
    <t>E 545.a</t>
  </si>
  <si>
    <t>c. Terdapat Bumdesa Perantara Bidang Penjualan Tiket</t>
  </si>
  <si>
    <t>Usaha_PenjualanTiket</t>
  </si>
  <si>
    <t>d. Terdapat Bumdesa Perantara Bidang Karaoke</t>
  </si>
  <si>
    <t>Usaha_Karaoke</t>
  </si>
  <si>
    <t>a. BUMDesa Pariwisata</t>
  </si>
  <si>
    <t>Bumdes_Bid_Pariwisata</t>
  </si>
  <si>
    <t>b. Terdapat Bumdesa Pariwisata Bidang Wisata Desa</t>
  </si>
  <si>
    <t>Pariwisata_WisataDesa</t>
  </si>
  <si>
    <t>E 546.a</t>
  </si>
  <si>
    <t>c. Terdapat Bumdesa Pariwisata Bidang Agrowisata</t>
  </si>
  <si>
    <t>Pariwisata_Agrowisata</t>
  </si>
  <si>
    <t>d. Terdapat Bumdesa Pariwisata Bidang Wisata Alam</t>
  </si>
  <si>
    <t>Pariwisata_WisataAlam</t>
  </si>
  <si>
    <t>e. Terdapat Bumdesa Pariwisata Bidang Transpotasi</t>
  </si>
  <si>
    <t>Pariwisata_Transportasi</t>
  </si>
  <si>
    <t>a. Omset Bumdes 1 Tahun Terakhir</t>
  </si>
  <si>
    <t>Omset_Bumdes</t>
  </si>
  <si>
    <t>b. Omset Bumdes Bersama 1 Tahun Terakhir</t>
  </si>
  <si>
    <t>Omset_Bumdes_Bersama</t>
  </si>
  <si>
    <t>Jumlah Bidang Usaha Bumdesa</t>
  </si>
  <si>
    <t>Jumlah_Usaha_Bumdesa</t>
  </si>
  <si>
    <t>Bidang</t>
  </si>
  <si>
    <t>a. Nomor Perdes Pembentukan Bumdesa</t>
  </si>
  <si>
    <t>No_perdesa_Bumdesa</t>
  </si>
  <si>
    <t>Nomor 3 Tahun 2021</t>
  </si>
  <si>
    <t>b. Tahun Pendirian Bumdesa</t>
  </si>
  <si>
    <t>Bumdesa_TahunBerdiri</t>
  </si>
  <si>
    <t>max 1990-2024</t>
  </si>
  <si>
    <t>c. Total Tenaga Kerja Bumdesa</t>
  </si>
  <si>
    <t>Total_Tenaga_Kerja_Bumdes</t>
  </si>
  <si>
    <t>max 100</t>
  </si>
  <si>
    <t>d. Nama Ketua Pelaksana Bidang Unit Usaha</t>
  </si>
  <si>
    <t>Nama_Ketua_Pelaksana_Bidang_Unit_Usaha</t>
  </si>
  <si>
    <t>ANDI ISRAENI</t>
  </si>
  <si>
    <t>e. Nama_Ketua_Bumdesa</t>
  </si>
  <si>
    <t>Ketua_Bumdesa</t>
  </si>
  <si>
    <t>Al Ikhwan Manurung, S.Pd</t>
  </si>
  <si>
    <t>f. Nama Sekretaris</t>
  </si>
  <si>
    <t>Nama_Sekretaris</t>
  </si>
  <si>
    <t>Alfian Munir, S.Pd</t>
  </si>
  <si>
    <t>g. Nama Bendahara</t>
  </si>
  <si>
    <t>Nama_Bendahara</t>
  </si>
  <si>
    <t>Andi Alwarida, SE</t>
  </si>
  <si>
    <t>h. Jumlah Anggota Bumdesa</t>
  </si>
  <si>
    <t>Jumlah Anggota</t>
  </si>
  <si>
    <t>i. SK Pengelola Bumdesa</t>
  </si>
  <si>
    <t>SK_Pengelola_Bumdesa</t>
  </si>
  <si>
    <t>No. 59 Tahun 2021</t>
  </si>
  <si>
    <t>j. Alamat Email Bumdesa</t>
  </si>
  <si>
    <t>Email_Bumdesa</t>
  </si>
  <si>
    <t>bumdesberdayabira@gmail.com</t>
  </si>
  <si>
    <t>Lampiran Daftar Pengurus BUMDESA</t>
  </si>
  <si>
    <t>Pengurus_Bumdes</t>
  </si>
  <si>
    <t>Lampiran Daftar Pengurus BUMDESA Bersama</t>
  </si>
  <si>
    <t>Pengurus_Bumdesma</t>
  </si>
  <si>
    <t>Keterbukaan Wilayah</t>
  </si>
  <si>
    <t>Angkutan Umum di Desa</t>
  </si>
  <si>
    <t>TransUmum</t>
  </si>
  <si>
    <t>Skor Moda Transportasi Umum</t>
  </si>
  <si>
    <t>Terdapat Angkutan Transprotasi Darat</t>
  </si>
  <si>
    <t>TransUmum_Darat</t>
  </si>
  <si>
    <t>E 552</t>
  </si>
  <si>
    <t>Terdapat Angkutan Transportasi Air/Laut</t>
  </si>
  <si>
    <t>TransUmum_Air/Laut</t>
  </si>
  <si>
    <t>Terdapat Angkutan Transportasi Udara</t>
  </si>
  <si>
    <t>TransUmum_Udara</t>
  </si>
  <si>
    <t>Angkutan Umum Utama di Desa Beroperasi Setiap Hari</t>
  </si>
  <si>
    <t>TransUmum_tiaphari</t>
  </si>
  <si>
    <t>Jam Operasional Angkutan Umum Utama</t>
  </si>
  <si>
    <t>TransUmum_jam</t>
  </si>
  <si>
    <t>Jalan di Desa Dapat Dilalui Kendaraan Bermotor Roda Empat</t>
  </si>
  <si>
    <t>Jalan_Desa</t>
  </si>
  <si>
    <t>Skor Keterbukaan Wilayah</t>
  </si>
  <si>
    <t>Jenis Permukaan Jalan di Desa yang Terluas</t>
  </si>
  <si>
    <t>Pmk_jalan</t>
  </si>
  <si>
    <t>Skor Kualitas Jalan</t>
  </si>
  <si>
    <t>Kualitas Permukaan Jalan di Desa</t>
  </si>
  <si>
    <t>Kualitas_jalan</t>
  </si>
  <si>
    <t>V DIMENSI EKOLOGI</t>
  </si>
  <si>
    <t>Kondisi Linkungan</t>
  </si>
  <si>
    <t>Ketersediaan Sumber Air di Desa</t>
  </si>
  <si>
    <t>AirDesa</t>
  </si>
  <si>
    <t>a. Sumber Air Berasal dari Mata Air</t>
  </si>
  <si>
    <t>Sumber_Mata_Air</t>
  </si>
  <si>
    <t>L 501</t>
  </si>
  <si>
    <t>b. Sumber Air Berasal dari Danau</t>
  </si>
  <si>
    <t>Sumber_Danau</t>
  </si>
  <si>
    <t>c. Sumber Air Berasal dari Sungai</t>
  </si>
  <si>
    <t>Sumber_Sungai</t>
  </si>
  <si>
    <t>d.Sumber Air Berasal dari Lainnya (Sebutkan)</t>
  </si>
  <si>
    <t>Sumber_Lainnya</t>
  </si>
  <si>
    <t>sumur bor</t>
  </si>
  <si>
    <t>a. Terjadi pencemaran air di Desa</t>
  </si>
  <si>
    <t>Cemar_air</t>
  </si>
  <si>
    <t>Skor Kualitas Lingkungan</t>
  </si>
  <si>
    <t>b. Terjadi pencemaran tanah di Desa</t>
  </si>
  <si>
    <t>Cemar_tanah</t>
  </si>
  <si>
    <t>c. Terjadi pencemaran udara di Desa</t>
  </si>
  <si>
    <t>Cemar_udara</t>
  </si>
  <si>
    <t>Dampak pencemaran lingkungan</t>
  </si>
  <si>
    <t>Dampak_cemar</t>
  </si>
  <si>
    <t>Terdapat sungai yang terkena pembuangan limbah</t>
  </si>
  <si>
    <t>Sungai_limbah</t>
  </si>
  <si>
    <t>Terdapat perencanaan tata ruang Desa</t>
  </si>
  <si>
    <t>Tataruang</t>
  </si>
  <si>
    <t>Terdapat perubahan penggunaan lahan dari sektor pertanian menjadi non-pertanian</t>
  </si>
  <si>
    <t>Perub_lahan</t>
  </si>
  <si>
    <t>Potensi Bencana</t>
  </si>
  <si>
    <t>a. Frekuensi Kejadian Bencana Tanah Longsor</t>
  </si>
  <si>
    <t>TanahLongsor</t>
  </si>
  <si>
    <t>Skor Rawan Bencana</t>
  </si>
  <si>
    <t>b. Frekuensi Kejadian Bencana Banjir</t>
  </si>
  <si>
    <t>Banjir</t>
  </si>
  <si>
    <t>c. Frekuensi Kejadian Bencana Gempa Bumi</t>
  </si>
  <si>
    <t>Gempa</t>
  </si>
  <si>
    <t>d. Frekuensi Kejadian Bencana Tsunami</t>
  </si>
  <si>
    <t>Tsunami</t>
  </si>
  <si>
    <t>e. Frekuensi Kejadian Bencana Gelombang Pasang Laut</t>
  </si>
  <si>
    <t>GelPasang</t>
  </si>
  <si>
    <t>f. Frekuensi Kejadian Bencana Angin Puyuh / Puting Beliung / Topan</t>
  </si>
  <si>
    <t>AnginPuyuh</t>
  </si>
  <si>
    <t>g. Frekuensi Kejadian Bencana Gunung Meletus</t>
  </si>
  <si>
    <t>GunungMeletus</t>
  </si>
  <si>
    <t>h. Frekuensi Kejadian Bencana Kebakaran Hutan</t>
  </si>
  <si>
    <t>Kebakaran</t>
  </si>
  <si>
    <t>i. Frekuensi Kejadian Bencana Kekeringan Lahan</t>
  </si>
  <si>
    <t>Kekeringan</t>
  </si>
  <si>
    <t>j. Frekuensi Kejadian Bencana Lainnya</t>
  </si>
  <si>
    <t>Bencana_lainnya</t>
  </si>
  <si>
    <t>Frek_Bencana_lainnya</t>
  </si>
  <si>
    <t>a. Terdapat Fasilitas Mitigasi Bencana Alam di Desa Berupa  Peringatan Dini Bencana</t>
  </si>
  <si>
    <t>SPDben</t>
  </si>
  <si>
    <t>Skor Tanggap Bencana</t>
  </si>
  <si>
    <t>b. Terdapat Fasilitas Mitigasi Bencana Alam di Desa Berupa Sistem Peringatan Dini Khusus Tsunami</t>
  </si>
  <si>
    <t>SPDben_tsunami</t>
  </si>
  <si>
    <t>c. Terdapat Fasilitas Mitigasi Bencana Alam di Desa Berupa Perlengkapan Keselamatan</t>
  </si>
  <si>
    <t>Perlap_keselamtan</t>
  </si>
  <si>
    <t>d. Terdapat Fasilitas Mitigasi Bencana Alam di Desa Berupa Jalur Evakuasi</t>
  </si>
  <si>
    <t>Jalur_evakuasi</t>
  </si>
  <si>
    <t>VI AKTIVITAS Desa</t>
  </si>
  <si>
    <t>a. Ketersediaan pendamping Lokal Desa di Desa</t>
  </si>
  <si>
    <t>PLD</t>
  </si>
  <si>
    <t>b. Jumlah pendamping lokal Desa di Kecamatan</t>
  </si>
  <si>
    <t>Jml_PLD</t>
  </si>
  <si>
    <t>Jumlah anggota KPMD(Kader Pembangunan Masyarakat Desa) Kader Posyandu/ Kader Kesehatan yang Aktif</t>
  </si>
  <si>
    <t>KPMD_aktif</t>
  </si>
  <si>
    <t>Jumlah anggota Tim  Perumusan RPJMDes yang Aktif</t>
  </si>
  <si>
    <t>RPJMDes_aktif</t>
  </si>
  <si>
    <t>Ketersediaan kebun gizi di Desa yang dimanfaatkan Masyarakat</t>
  </si>
  <si>
    <t>Kebun_gizi</t>
  </si>
  <si>
    <t>Sumber pangan yang paling sering dikonsumsi masyarakat Desa</t>
  </si>
  <si>
    <t>Pangan</t>
  </si>
  <si>
    <t>Terdapat Peraturan Desa tentang Kesehatan dan Pendidikan</t>
  </si>
  <si>
    <t>Perdes</t>
  </si>
  <si>
    <t>Terdapat hari jadi Desa/ mempenrignati hari lahir desa</t>
  </si>
  <si>
    <t>Hari_Lahir_Desa</t>
  </si>
  <si>
    <t>tanggal hari jadi desa/ mempertingati hari desa</t>
  </si>
  <si>
    <t>Peringantan_Hari_Lahir_Desa</t>
  </si>
  <si>
    <t>Pendampingan Masyarakat Desa dari Pihak Luar</t>
  </si>
  <si>
    <t xml:space="preserve">Apakah ada pelaksanaan pendampingan masyarakat di luar dari Pendamping Lokal Desa (PLD). Misalnya Pendamping dari lintas sektor (swasta, BUMN atau Perguruan Tinggi/Swasta)? </t>
  </si>
  <si>
    <t>Pelaksanaan_PLD_Luar</t>
  </si>
  <si>
    <t>Terdapat Pendampingan Masyarakat dari Luar PLD</t>
  </si>
  <si>
    <t>PLD_Luar</t>
  </si>
  <si>
    <t>Pendampingan Masyarakat dari Luar PLD Lainnya (Sebutkan)</t>
  </si>
  <si>
    <t>PLD_Luar_Sebutkan</t>
  </si>
  <si>
    <t>Bagaimana layanan dari pendampingan luar tersebut?</t>
  </si>
  <si>
    <t>Layanan_PLD_Luar</t>
  </si>
  <si>
    <t>Berapa banyak institusi yang melakukan pendampingan dalam setahun di desa?</t>
  </si>
  <si>
    <t>Jlh_Institusi_melakukan_pendampingan</t>
  </si>
  <si>
    <t>a. Terdapat Layanan Pendampingan Masyarakat di Bidang Pendidikan</t>
  </si>
  <si>
    <t>Pendampingan_Bid_Pendidikan</t>
  </si>
  <si>
    <t>b. Terdapat Layanan Pendampingan Masyarakat di Bidang Kesehatan</t>
  </si>
  <si>
    <t>Pendampingan_Bid_Kesehatan</t>
  </si>
  <si>
    <t>c. Terdapat Layanan Pendampingan Masyarakat di Bidang Sosial/ Budaya</t>
  </si>
  <si>
    <t>Pendampingan_Bid_Sosial/Budaya</t>
  </si>
  <si>
    <t>d. Terdapat Layanan Pendampingan Masyarakat di Bidang Ekonomi</t>
  </si>
  <si>
    <t>Pendampingan_Bid_Ekonomi</t>
  </si>
  <si>
    <t>e. Terdapat Layanan Pendampingan Masyarakat di Bidang Pemberdayaan Masyarakat</t>
  </si>
  <si>
    <t>Pendampingan_Bid_Pemberdayaan_Masyarakat</t>
  </si>
  <si>
    <t>f. Layanan Pendampingan Masyarakat dari di Bidang Lainnya (Sebutkan)</t>
  </si>
  <si>
    <t>Pendampingan_Bid_Lainnya</t>
  </si>
  <si>
    <t>Lama durasi layanan pendampingan dari pihak luar</t>
  </si>
  <si>
    <t>Lama_Pendampingan_Luar</t>
  </si>
  <si>
    <t>Bulan</t>
  </si>
  <si>
    <t>Dampak pendampingan terhadap kehidupan sosial ekonomi dan budaya masyarakat?</t>
  </si>
  <si>
    <t>Dampak_pendampingan</t>
  </si>
  <si>
    <t>Di bidang apa saja dampak pendampingan yang diterima masyarakat?</t>
  </si>
  <si>
    <t>Dampak_Bidang_Pendampingan</t>
  </si>
  <si>
    <t>Dampak pendampingan yang diterima masyarakat di bidang lainnya (sebutkan)</t>
  </si>
  <si>
    <t>Dampak_Bidang_Lainnya</t>
  </si>
  <si>
    <t>Ekonomi</t>
  </si>
  <si>
    <t>Apakah Pendamping Lokal Desa dilibatkan dalam pendampingan tersebut?</t>
  </si>
  <si>
    <t>PLD_dilibatkan_Pendampingan</t>
  </si>
  <si>
    <t>Apakah ada tindak lanjut dari pemerintah desa dari pendampingan tersebut?</t>
  </si>
  <si>
    <t>Tinjut_Pemdes_Pendampingan</t>
  </si>
  <si>
    <t>Penyedia Peningkatan Kapasitas Teknis Desa (P2KTD)</t>
  </si>
  <si>
    <t>Desa di fasilitasi pihak ke 3 dalam proses pembangunan dan pemberdayaan masyarakat desa
(Tenaga Profesional seperti: Lembaga, Asosiasi, Perusahaan, Perorangan dst)</t>
  </si>
  <si>
    <t>Desa_diFasilitasi_Pihak3_pada_Proses_PPMD</t>
  </si>
  <si>
    <t>a. Bidang Peningkatan SDM Masyarakat Desa (PSDM) di fasilitasi pihak ke 3</t>
  </si>
  <si>
    <t>Pihak3_Fasilitasi_Bidang_PSDM</t>
  </si>
  <si>
    <t>b. Bidang Infrastruktur Desa di fasilitasi pihak ke 3</t>
  </si>
  <si>
    <t>Pihak3_Fasilitasi_Bidang_Infrastruktur</t>
  </si>
  <si>
    <t>c. Bidang Pengembangan Ekonomi Lokal (PEL) di fasilitasi pihak ke 3</t>
  </si>
  <si>
    <t>Pihak3_Fasilitasi_Bidang_Ekonomi</t>
  </si>
  <si>
    <t>d. Bidang Pengembangan Desa Wisata di fasilitasi pihak ke 3</t>
  </si>
  <si>
    <t>Pihak3_Fasilitasi_Bidang_DesWita</t>
  </si>
  <si>
    <t>e. Bantuan Hukum di fasilitasi pihak ke 3</t>
  </si>
  <si>
    <t>Pihak3_Fasilitasi_Bantuan_Hukum</t>
  </si>
  <si>
    <t>f. Konsultan Keuangan di fasilitasi pihak ke 3</t>
  </si>
  <si>
    <t>Pihak3_Fasilitasi_Konsultan_Keuangan</t>
  </si>
  <si>
    <t>g. Konsultan Pajak di fasilitasi pihak ke 3</t>
  </si>
  <si>
    <t>Pihak3_Fasilitasi_Konsultan_Pajak</t>
  </si>
  <si>
    <t>h. Konsultan Pertanian/ Perkebunan/ Peternakan di fasilitasi pihak ke 3</t>
  </si>
  <si>
    <t>Pihak3_Fasilitasi_Konsultan_Ptani/Pkebun/Pternak</t>
  </si>
  <si>
    <t>i. Pengembangan Aplikasi Digital di fasilitasi pihak ke 3</t>
  </si>
  <si>
    <t>Pihak3_Fasilitasi_Aplikasi_Digital</t>
  </si>
  <si>
    <t>Total Anggaran dengan Pihak ke 3 Pembangunan dan Pemberdayaan Masyarakat Desa</t>
  </si>
  <si>
    <t>Total_Anggaran_Pihak3_PPMD</t>
  </si>
  <si>
    <t>VII. KERJASAMA DESA DAN PERDESAAN</t>
  </si>
  <si>
    <t>Kerjasama Desa</t>
  </si>
  <si>
    <t>Kerjasama yang dilakukan oleh desa</t>
  </si>
  <si>
    <t>KS_Desa</t>
  </si>
  <si>
    <t>Kerjasama Desa Antar Desa dalam Satu Kecamatan</t>
  </si>
  <si>
    <t>a. Desa Melakukan Kerjasama Antar Desa Dalam Satu Kecamatan</t>
  </si>
  <si>
    <t>KS_Desa_1Kec</t>
  </si>
  <si>
    <t>b. Status Keaktifan BKAD *)</t>
  </si>
  <si>
    <t>BKAD_Aktif</t>
  </si>
  <si>
    <t>c. Nama BKAD</t>
  </si>
  <si>
    <t>Nama_BKAD</t>
  </si>
  <si>
    <t>d. Dasar Pembentukan BKAD (Permakades)</t>
  </si>
  <si>
    <t>Permakades_Didalam_Kecamatan</t>
  </si>
  <si>
    <t>e. Nomor Peraturan Pembentukan</t>
  </si>
  <si>
    <t>No_Pembentukan</t>
  </si>
  <si>
    <t>f. Unit Usaha yang Dilakukan</t>
  </si>
  <si>
    <t>Unit_Usaha</t>
  </si>
  <si>
    <t>g. Persentase Bagi Hasil yang diterima desa per tahun</t>
  </si>
  <si>
    <t>Persentase_Bagi_Hasil_Desa</t>
  </si>
  <si>
    <t>%</t>
  </si>
  <si>
    <t>h. Penggunaan Bagi Hasil</t>
  </si>
  <si>
    <t>Pengguna_Bagi_Hasil</t>
  </si>
  <si>
    <t>i. Penggunaan Bagi Hasil Lainnya Sebutkan</t>
  </si>
  <si>
    <t>Pengguna_Bagi_Hasil_Lainnya</t>
  </si>
  <si>
    <t>Kerjasama Desa Antar Desa Diluar Kecamatan</t>
  </si>
  <si>
    <t>a. Desa Melakukan Kerjasama Antar Desa Diluar Kecamatan</t>
  </si>
  <si>
    <t>KS_Desa_Kec_Lain</t>
  </si>
  <si>
    <t>b. Status Keaktifan BKAD</t>
  </si>
  <si>
    <t>Permakades_Diluar_Kecamatan</t>
  </si>
  <si>
    <t>Kerjasama Desa/ BUMDes Dengan Pihak Ketiga</t>
  </si>
  <si>
    <t>a. Terdapat Kerjasama Desa/ BUMDes dengan Pihak Ketiga</t>
  </si>
  <si>
    <t>KS_Desa_Pihak_Ketiga</t>
  </si>
  <si>
    <t>b. Desa/ Bumdes Kerjasama dengan Pihak Swasta</t>
  </si>
  <si>
    <t>KS_Kerjasama_Swasta</t>
  </si>
  <si>
    <t>c. Desa/ Bumdes Kerjasama dengan Pihak Organisasi (LSM)</t>
  </si>
  <si>
    <t>KS_Kerjasama_Organisasi</t>
  </si>
  <si>
    <t>d. Desa/ Bumdes Kerjasama dengan Pihak Perguruan Tinggi</t>
  </si>
  <si>
    <t>KS_Kerjasama_Perguruan</t>
  </si>
  <si>
    <t>e. Desa/ Bumdes Kerjasama dengan Pihak BUMN</t>
  </si>
  <si>
    <t>KS_Kerjasama_BUMN</t>
  </si>
  <si>
    <t>f. Desa/ Bumdes Kerjasama dengan Pihak Lainnya (Sebutkan)</t>
  </si>
  <si>
    <t>KS_Kerjasama_Lainnya</t>
  </si>
  <si>
    <t>Nama Institusi yang Bekerja Sama</t>
  </si>
  <si>
    <t>Institusi_KS</t>
  </si>
  <si>
    <t>a. Bidang Kerjasama</t>
  </si>
  <si>
    <t>Bidang_Kerjasama</t>
  </si>
  <si>
    <t>b. Bidang Kerjasama Lainnya</t>
  </si>
  <si>
    <t>Bidang_Kerjasama_Lainnya</t>
  </si>
  <si>
    <t>Terdapat Perjanjian Kerjasama</t>
  </si>
  <si>
    <t>Perjanjian_KS</t>
  </si>
  <si>
    <t>Nomor Perjanjian Kerjasama</t>
  </si>
  <si>
    <t>Nomor_KS</t>
  </si>
  <si>
    <t>Judul Perjanjian Kerjasama</t>
  </si>
  <si>
    <t>Judul_KS</t>
  </si>
  <si>
    <t>Tanggal Perjanjian Kerjasama</t>
  </si>
  <si>
    <t>Tanggal_KS</t>
  </si>
  <si>
    <t>Priode Kerjasama</t>
  </si>
  <si>
    <t>Periode_KS</t>
  </si>
  <si>
    <t>0tidak ada</t>
  </si>
  <si>
    <t>Persentase Bagi Hasil Desa/Bumdes dengan Pihak Ketiga Pertahun</t>
  </si>
  <si>
    <t>Persentase_KS_Pihak_Ketiga</t>
  </si>
  <si>
    <t>Kerjasama Antar Desa Eks PNPM</t>
  </si>
  <si>
    <t>a. Desa Melakukan Kerjasama Eks PNPM</t>
  </si>
  <si>
    <t>KS_Eks_PNPM</t>
  </si>
  <si>
    <t>Permakades_Eks_PNPM</t>
  </si>
  <si>
    <t>e. Nomor Peraturan Pembentukan BKAD</t>
  </si>
  <si>
    <t>j. Jenis Program Kerja Yang Dilaksanakan</t>
  </si>
  <si>
    <t>Jenis_Program_Kerja</t>
  </si>
  <si>
    <t>k. Jenis Program Kerja Yang Dilaksanakan Lainnya (Sebutkan)</t>
  </si>
  <si>
    <t>Jenis_Program_Kerja_Lainnya</t>
  </si>
  <si>
    <t>VIII SUMBER PENDAPATAN DESA</t>
  </si>
  <si>
    <t>a1. Pendapatan Asli Desa Tahun 2024</t>
  </si>
  <si>
    <t>PAD_2024</t>
  </si>
  <si>
    <t>a2. Pendapatan Asli Desa Tahun 2023</t>
  </si>
  <si>
    <t>PAD_2023</t>
  </si>
  <si>
    <t>b1. Dana Desa (DD) Tahun 2024</t>
  </si>
  <si>
    <t>DD_2024</t>
  </si>
  <si>
    <t>b2. Dana Desa (DD) Tahun 2023</t>
  </si>
  <si>
    <t>DD_2023</t>
  </si>
  <si>
    <t>c1. Bagi Hasil Pajak dan Retribusi Daerah Tahun 2024</t>
  </si>
  <si>
    <t>Pajak_dan_Retribusi_2024</t>
  </si>
  <si>
    <t>c2. Bagi Hasil Pajak dan Retribusi Daerah Tahun 2023</t>
  </si>
  <si>
    <t>Pajak_dan_Retribusi_2023</t>
  </si>
  <si>
    <t>d1. Alokasi Dana Desa Tahun 2024</t>
  </si>
  <si>
    <t>Al_DD_2024</t>
  </si>
  <si>
    <t>d2. Alokasi Dana Desa Tahun 2023</t>
  </si>
  <si>
    <t>Al_DD_2023</t>
  </si>
  <si>
    <t>e1. Bantuan Provinsi Tahun 2024</t>
  </si>
  <si>
    <t>Bantuan_Prov_2024</t>
  </si>
  <si>
    <t>e2. Bantuan Provinsi Tahun 2023</t>
  </si>
  <si>
    <t>Bantuan_Prov_2023</t>
  </si>
  <si>
    <t>f1. Bantuan Kabupaten/Kota Tahun 2024</t>
  </si>
  <si>
    <t>Bantuan_Kab/Kot_2024</t>
  </si>
  <si>
    <t>f2. Bantuan Kabupaten/Kota Tahun 2023</t>
  </si>
  <si>
    <t>Bantuan_Kab/Kot_2023</t>
  </si>
  <si>
    <t>g1. Lain-lain Tahun 2024</t>
  </si>
  <si>
    <t>Lainnya_2024</t>
  </si>
  <si>
    <t>g2. Lain-lain Tahun 2023</t>
  </si>
  <si>
    <t>Lainnya_2023</t>
  </si>
  <si>
    <t>Total APBDES Tahun 2023</t>
  </si>
  <si>
    <t>Total_APBDES_Tahun_2023</t>
  </si>
  <si>
    <t xml:space="preserve"> dari monev DD</t>
  </si>
  <si>
    <t>Total APBDES Tahun 2024</t>
  </si>
  <si>
    <t>Total_APBDES_Tahun_2024</t>
  </si>
  <si>
    <t>IX ASET/ KEKAYAAN DESA</t>
  </si>
  <si>
    <t>a. Terdapat Tanah Kas Desa/ Ulayat</t>
  </si>
  <si>
    <t>Tanah_kasDesa</t>
  </si>
  <si>
    <t>b. Terdapat Bangunan Kantor Desa</t>
  </si>
  <si>
    <t>Bangunan_bangunanKantor</t>
  </si>
  <si>
    <t>c. Terdapat Bangunan Balai Desa</t>
  </si>
  <si>
    <t>Bangunan_bangunanBalai</t>
  </si>
  <si>
    <t>d. Terdapat Bangunan Desa Lainnya (sebutkan)</t>
  </si>
  <si>
    <t>Bangunan_desaLainnya</t>
  </si>
  <si>
    <t>Gema, Bank Sampah, Posyandu, TK/PAUD, Pos Jaga, Rumah Ketahanan Pangan, MCK, Sumur Bor, Gazebo, Bak Penampungan Sampah</t>
  </si>
  <si>
    <t xml:space="preserve">e. Terdapat Pasar Hewan </t>
  </si>
  <si>
    <t>Pasar_terdapatPasar</t>
  </si>
  <si>
    <t>f. Terdapat Pasar Pelelangan Ikan</t>
  </si>
  <si>
    <t>Pasar_pasarPelelangan</t>
  </si>
  <si>
    <t>g. Terdapat Pasar Pelelangan Hasil Pertanian</t>
  </si>
  <si>
    <t>Pasar_pelelanganHasil</t>
  </si>
  <si>
    <t>h. Terdapat Pasar Desa Lainnya (sebutkan)</t>
  </si>
  <si>
    <t>Pasar_desaLainnya</t>
  </si>
  <si>
    <t>i. Terdapat Aset Desa Lainnya (sebutkan)</t>
  </si>
  <si>
    <t>Aset_desaLainnya</t>
  </si>
  <si>
    <t>Kendaraan, Peralatan dan Mesin, Jaringan Pipa, Jaringan Listrik, Jalur Evakuasi, Instalasi Air dan Listrik, Peralatan Penunjang Kerja, Tanah</t>
  </si>
  <si>
    <t>Penyebaran Informasi APBDes disebarkan ke Masyarakat</t>
  </si>
  <si>
    <t>a. APBDes disampaikan melalui Papan Informasi</t>
  </si>
  <si>
    <t>InfoAPBDes_mading</t>
  </si>
  <si>
    <t>b. APBDes disampaikan melalui Musyawarah Desa</t>
  </si>
  <si>
    <t>InfoAPBDes_mus</t>
  </si>
  <si>
    <t>c. APBDes disampaikan melalui Website</t>
  </si>
  <si>
    <t>InfoAPBDes_web</t>
  </si>
  <si>
    <t>d. APBDes disampaikan melalui Lainnya (Sebutkan)</t>
  </si>
  <si>
    <t>InfoAPBDes_lain</t>
  </si>
  <si>
    <t>Media Sosial</t>
  </si>
  <si>
    <t>X TOTAL BELANJA APBDes</t>
  </si>
  <si>
    <t>Bidang Penyelenggaraan Pemerintahan Desa Tahun 2023 dan 2024</t>
  </si>
  <si>
    <t>a. Total Bidang Penyelenggaraan Pemerintah Tahun 2023</t>
  </si>
  <si>
    <t>Penyelnggra_Pemrth_2023</t>
  </si>
  <si>
    <t>b. Penyelenggaraan Belanja Penghasilan Tetap, Tunjangan dan Operasional Pemerintah Desa Tahun 2023</t>
  </si>
  <si>
    <t>Penyelnggra_Blnj_Pghsln_ttp_2023</t>
  </si>
  <si>
    <t>c. Sarana dan Prasarana Pemerintah Desa Tahun 2023</t>
  </si>
  <si>
    <t>Sarpras_Pemrth_Desa_2023</t>
  </si>
  <si>
    <t>d. Adminsitrasi Kependudukan, Pencatatan Sipil, Statistik dan Kearsipan Tahun 2023</t>
  </si>
  <si>
    <t>Admin_Kependudukn_2023</t>
  </si>
  <si>
    <t>e. Tata Praja Pemerintah, Perencanaan, Keuangan, Pelaporan Tahun 2023</t>
  </si>
  <si>
    <t>Tata_Praja_Pmrth_2023</t>
  </si>
  <si>
    <t>f. Belanja Pertanahan Tahun 2023</t>
  </si>
  <si>
    <t>Pertanahan_2023</t>
  </si>
  <si>
    <t>a. Total Bidang Penyelenggaraan Pemerintah Tahun 2024</t>
  </si>
  <si>
    <t>Penyelnggra_Pemrth_2024</t>
  </si>
  <si>
    <t>b. Penyelenggaraan Belanja Penghasilan Tetap, Tunjangan dan Operasional Pemerintah Desa Tahun 2024</t>
  </si>
  <si>
    <t>Penyelnggra_Blnj_Pghsln_ttp_2024</t>
  </si>
  <si>
    <t>c. Sarana dan Prasarana Pemerintah Desa Tahun 2024</t>
  </si>
  <si>
    <t>Sarpras_Pemrth_Desa_2024</t>
  </si>
  <si>
    <t>d. Adminsitrasi Kependudukan, Pencatatan Sipil, Statistik dan Kearsipan Tahun 2024</t>
  </si>
  <si>
    <t>Admin_Kependudukn_2024</t>
  </si>
  <si>
    <t>e. Tata Praja Pemerintah, Perencanaan, Keuangan, Pelaporan Tahun 2024</t>
  </si>
  <si>
    <t>Tata_Praja_Pmrth_2024</t>
  </si>
  <si>
    <t>f. Belanja Pertanahan Tahun 2024</t>
  </si>
  <si>
    <t>Pertanahan_2024</t>
  </si>
  <si>
    <t>Bidang Pelaksanaan Pembangunan Desa Tahun 2023 dan Tahun 2024</t>
  </si>
  <si>
    <t>a. Total Bidang Pelaksanaan Pembangunan Desa Tahun 2023</t>
  </si>
  <si>
    <t>Pembangunan Desa_2023</t>
  </si>
  <si>
    <t>b. Pendidikan Tahun 2023</t>
  </si>
  <si>
    <t>Pendidikan_2023</t>
  </si>
  <si>
    <t>c. Kesehatan Tahun 2023</t>
  </si>
  <si>
    <t>Kesehatan_2023</t>
  </si>
  <si>
    <t>d. Pekerjaan Umum dan Penataan Ruang Tahun 2023</t>
  </si>
  <si>
    <t>PU&amp;tataruang_2023</t>
  </si>
  <si>
    <t>e. Kawasan Pemukiman Tahun 2023</t>
  </si>
  <si>
    <t>Kwsn_Pmukiman_2023</t>
  </si>
  <si>
    <t>f. Kehutanan dan Lingkungan Hidup Tahun 2023</t>
  </si>
  <si>
    <t>Lingk_Hidup_2023</t>
  </si>
  <si>
    <t>g. Perhubungan Komunikasi dan Informatika Tahun 2023</t>
  </si>
  <si>
    <t>Perhubungan_2023</t>
  </si>
  <si>
    <t>h. Energi dan Sumber Daya Mineral Tahun 2023</t>
  </si>
  <si>
    <t>ESDM_2023</t>
  </si>
  <si>
    <t>i. Pariwisata Tahun 2023</t>
  </si>
  <si>
    <t>Pariwisata_2023</t>
  </si>
  <si>
    <t>a. Total Bidang Pelaksanaan Pembangunan Desa Tahun 2024</t>
  </si>
  <si>
    <t>Pembangunan Desa_2024</t>
  </si>
  <si>
    <t>b. Pendidikan Tahun 2024</t>
  </si>
  <si>
    <t>Pendidikan_2024</t>
  </si>
  <si>
    <t>c. Kesehatan Tahun 2024</t>
  </si>
  <si>
    <t>Kesehatan_2024</t>
  </si>
  <si>
    <t>d. Pekerjaan Umum dan Penataan Ruang Tahun 2024</t>
  </si>
  <si>
    <t>PU&amp;tataruang_2024</t>
  </si>
  <si>
    <t>e. Kawasan Pemukiman Tahun 2024</t>
  </si>
  <si>
    <t>Kwsn_Pmukiman_2024</t>
  </si>
  <si>
    <t>f. Kehutanan dan Lingkungan Hidup Tahun 2024</t>
  </si>
  <si>
    <t>Lingk_Hidup_2024</t>
  </si>
  <si>
    <t>g. Perhubungan Komunikasi dan Informatika Tahun 2024</t>
  </si>
  <si>
    <t>Perhubungan_2024</t>
  </si>
  <si>
    <t>h. Energi dan Sumber Daya Mineral Tahun 2024</t>
  </si>
  <si>
    <t>ESDM_2024</t>
  </si>
  <si>
    <t>i. Pariwisata Tahun 2024</t>
  </si>
  <si>
    <t>Pariwisata_2024</t>
  </si>
  <si>
    <t>Bidang Pembinaan Kemasyarakatan Desa Tahun 2023 dan 2024</t>
  </si>
  <si>
    <t>a. Total Bidang Pembinaan Kemasyarakatan Desa Tahun 2023</t>
  </si>
  <si>
    <t>Pembinaan_Kmasyrkt_Desa_2023</t>
  </si>
  <si>
    <t>b. Ketentraman, Ketertiban dan Perlindungan Masyarakat Tahun 2023</t>
  </si>
  <si>
    <t>Ketentrmn_Ktertbibn_Plindgn_Masyrkt_2023</t>
  </si>
  <si>
    <t>c. Kebudayaan dan Keagamaan Tahun 2023</t>
  </si>
  <si>
    <t>Kbdyaan_Kagamaan_2023</t>
  </si>
  <si>
    <t>d. Kepemudaan dan Olah Raga Tahun 2023</t>
  </si>
  <si>
    <t>Kpemudaan_Olhrga_2023</t>
  </si>
  <si>
    <t>e. Kelembagaan Mayarakat Tahun 2023</t>
  </si>
  <si>
    <t>Klmbagaan_Masyrkrt_2023</t>
  </si>
  <si>
    <t>a. Total Bidang Pembinaan Kemasyarakatan Desa Tahun 2024</t>
  </si>
  <si>
    <t>Pembinaan_Kmasyrkt_Desa_2024</t>
  </si>
  <si>
    <t>b. Ketentraman, Ketertiban dan Perlindungan Masyarakat Tahun 2024</t>
  </si>
  <si>
    <t>Ketentrmn_Ktertbibn_Plindgn_Masyrkt_2024</t>
  </si>
  <si>
    <t>c. Kebudayaan dan Keagamaan Tahun 2024</t>
  </si>
  <si>
    <t>Kbdyaan_Kagamaan_2024</t>
  </si>
  <si>
    <t>d. Kepemudaan dan Olah Raga Tahun 2024</t>
  </si>
  <si>
    <t>Kpemudaan_Olhrga_2024</t>
  </si>
  <si>
    <t>e. Kelembagaan Mayarakat Tahun 2024</t>
  </si>
  <si>
    <t>Klmbagaan_Masyrkrt_2024</t>
  </si>
  <si>
    <t>Bidang Pemberdayaan Masyarakat Desa Tahun 2023 dan 2024</t>
  </si>
  <si>
    <t>a. Total Bidang Pemberdayaan Masyarakat Desa Tahun 2023</t>
  </si>
  <si>
    <t>Pbrdayaan_Masyrkt_2023</t>
  </si>
  <si>
    <t>b. Kelautan dan Perikanan Tahun 2023</t>
  </si>
  <si>
    <t>Klautn_PerIkanan_2023</t>
  </si>
  <si>
    <t>c. Pertanian dan Peternakan Tahun 2023</t>
  </si>
  <si>
    <t>Ptanian_Pternakn_2023</t>
  </si>
  <si>
    <t>d. Peningkatan Kapasitas Aparatur Desa Tahun 2023</t>
  </si>
  <si>
    <t>Pningkatn_Kpstas_Apartr_Desa_2023</t>
  </si>
  <si>
    <t>e. Pemberdayaan Perempuan, Perlindungan Anak dan Keluarga Tahun 2023</t>
  </si>
  <si>
    <t>Pbrdayaan_Prempuan_2023</t>
  </si>
  <si>
    <t>f. Koperasi Usaha Mikro Kecil dan Menengah Tahun 2023</t>
  </si>
  <si>
    <t>Koperasi_2023</t>
  </si>
  <si>
    <t>g. Dukungan Penanaman Modal Tahun 2023</t>
  </si>
  <si>
    <t>Dukgn_Pnanamn_Modal_2023</t>
  </si>
  <si>
    <t>h. Perdagangan dan Industri Tahun 2023</t>
  </si>
  <si>
    <t>Pdagangan_Industri_2023</t>
  </si>
  <si>
    <t>a. Total Bidang Pemberdayaan Masyarakat Desa Tahun 2024</t>
  </si>
  <si>
    <t>Pbrdayaan_Masyrkt_2024</t>
  </si>
  <si>
    <t>b. Kelautan dan Perikanan Tahun 2024</t>
  </si>
  <si>
    <t>Klautn_PerIkanan_2024</t>
  </si>
  <si>
    <t>c. Pertanian dan Peternakan Tahun 2024</t>
  </si>
  <si>
    <t>Ptanian_Pternakn_2024</t>
  </si>
  <si>
    <t>d. Peningkatan Kapasitas Aparatur Desa Tahun 2024</t>
  </si>
  <si>
    <t>Pningkatn_Kpstas_Apartr_Desa_2024</t>
  </si>
  <si>
    <t>e. Pemberdayaan Perempuan, Perlindungan Anak dan Keluarga Tahun 2024</t>
  </si>
  <si>
    <t>Pbrdayaan_Prempuan_2024</t>
  </si>
  <si>
    <t>f. Koperasi Usaha Mikro Kecil dan Menengah Tahun 2024</t>
  </si>
  <si>
    <t>Koperasi_2024</t>
  </si>
  <si>
    <t>g. Dukungan Penanaman Modal Tahun 2024</t>
  </si>
  <si>
    <t>Dukgn_Pnanamn_Modal_2024</t>
  </si>
  <si>
    <t>h. Perdagangan dan Industri Tahun 2024</t>
  </si>
  <si>
    <t>Pdagangan_Industri_2024</t>
  </si>
  <si>
    <t>Bidang Penanggulangan Bencana, Keadaan Mendesak dan Darurat Desa Tahun 2023 dan 2024</t>
  </si>
  <si>
    <t>a. Total Bidang Penanggulangan Bencana, Keadaan Mendesak dan Darurat Desa Tahun 2023</t>
  </si>
  <si>
    <t>Pnaggln_Bcna_Mdsak_Darurat_2023</t>
  </si>
  <si>
    <t>b. Penanggulangan Bencana Tahun 2023</t>
  </si>
  <si>
    <t>Panganggulangan_Bencana_2023</t>
  </si>
  <si>
    <t>c. Keadaan Darurat Tahun 2023</t>
  </si>
  <si>
    <t>Keadaan_Darurat_2023</t>
  </si>
  <si>
    <t>d. Keadaan Mendesak Tahun 2023</t>
  </si>
  <si>
    <t>Keadaan_Mdesak_2023</t>
  </si>
  <si>
    <t>a. Total Bidang Penanggulangan Bencana, Keadaan Mendesak dan Darurat Desa Tahun 2024</t>
  </si>
  <si>
    <t>Pnaggln_Bcna_Mdsak_Darurat_2024</t>
  </si>
  <si>
    <t>b. Penanggulangan Bencana Tahun 2024</t>
  </si>
  <si>
    <t>Panganggulangan_Bencana_2024</t>
  </si>
  <si>
    <t>c. Keadaan Darurat Tahun 2024</t>
  </si>
  <si>
    <t>Keadaan_Darurat_2024</t>
  </si>
  <si>
    <t>d. Keadaan Mendesak Tahun 2024</t>
  </si>
  <si>
    <t>Keadaan_Mdesak_2024</t>
  </si>
  <si>
    <t>XI. JARAK, WAKTU DAN BIAYA DESA KE KECAMATAN DAN KABUPATEN</t>
  </si>
  <si>
    <t>Transportasi dari Kantor Desa Menuju Kantor Kecamatan</t>
  </si>
  <si>
    <t>Jarak Kantor Desa Ke kantor Camat</t>
  </si>
  <si>
    <t>Ktr_KtrDesa_KtrCamat</t>
  </si>
  <si>
    <t>Waktu Tempuh dari Kantor Desa Ke Kantor Camat</t>
  </si>
  <si>
    <t>Wkt_KtrDesa_KtrCamat</t>
  </si>
  <si>
    <t>Jam Menit</t>
  </si>
  <si>
    <t>0 Jam 15 Menit</t>
  </si>
  <si>
    <t>Total Biaya Transportasi Dari Kantor Desa Ke Kantor Camat</t>
  </si>
  <si>
    <t>Biaya_KtrDesa_KtrCamat</t>
  </si>
  <si>
    <t>Keterangan Terkait Perjalanan dari Kantor Desa Ke Kantor Kecamatan
(misal; jika mengharuskan Melaui Jalur Udara/Laut/Sungai dilanjutkan menggunakan Kendaraan Umum/Sewa dll)</t>
  </si>
  <si>
    <t>Ket_Perjalanan_KtrDesa_KtrCamat</t>
  </si>
  <si>
    <t>JALUR DARAT LEBIH EFEKTIF DAN EFESIEN</t>
  </si>
  <si>
    <t>Transportasi dari Kantor Desa Menuju Kantor Bupati</t>
  </si>
  <si>
    <t>Jarak Kantor Desa Ke kantor Bupati/Walikota</t>
  </si>
  <si>
    <t>Jrk_KtrDesa_KtrBupati/Walikota</t>
  </si>
  <si>
    <t>Waktu Tempuh Kantor Desa Ke Kantor Bupati/Walikota</t>
  </si>
  <si>
    <t>Wkt_KtrDesa_KtrBupati/Walikota</t>
  </si>
  <si>
    <t>Total Biaya Transportasi Dari Kantor Desa Ke Kantor Bupati/Walikota</t>
  </si>
  <si>
    <t>Biaya_KtrDesa_KtrBupati/Walikota</t>
  </si>
  <si>
    <t>Rupiah</t>
  </si>
  <si>
    <t>Ket_Perjalanan_KtrDesa_KtrBupati/Walikota</t>
  </si>
  <si>
    <t>Transportasi dari Kantor Desa Menuju Kantor Gubernur</t>
  </si>
  <si>
    <t>Jarak Kantor Desa Ke kantor Gubernur</t>
  </si>
  <si>
    <t>Jrk_KtrDesa_KtrGubernur</t>
  </si>
  <si>
    <t>Waktu Tempuh Kantor Desa Ke Kantor Gubernur</t>
  </si>
  <si>
    <t>Wkt_KtrDesa_KtrGubernur</t>
  </si>
  <si>
    <t>4 jam 40 menit</t>
  </si>
  <si>
    <t>Total Biaya Transportasi Dari Kantor Desa Ke Kantor Gubernur</t>
  </si>
  <si>
    <t>Biaya_KtrDesa_KtrGubernur</t>
  </si>
  <si>
    <t>Ket_Perjalanan_KtrDesa_KtrGubernur</t>
  </si>
  <si>
    <t>KUESIONER INDEKS DESA 2024</t>
  </si>
  <si>
    <t>Provinsi</t>
  </si>
  <si>
    <t>ada di IDM (106.b)</t>
  </si>
  <si>
    <t>Kabupaten/Kota</t>
  </si>
  <si>
    <t>ada di IDM (107.b)</t>
  </si>
  <si>
    <t>Kecamatan</t>
  </si>
  <si>
    <t>ada di IDM (108.b)</t>
  </si>
  <si>
    <t>ada di IDM (109.b)</t>
  </si>
  <si>
    <t>Kode Wilayah Administrasi Desa</t>
  </si>
  <si>
    <t>ada di IDM (109.a)</t>
  </si>
  <si>
    <t>Topografi sebagian besar wilayah desa/kelurahan (Puncak/ Tebing/ Lereng/ Dataran/ Lembah)</t>
  </si>
  <si>
    <t>Dataran</t>
  </si>
  <si>
    <t>Keberadaan Wilayah Desa yang Berbatasan dengan laut</t>
  </si>
  <si>
    <t>Jumlah Rumah di Desa</t>
  </si>
  <si>
    <t>Max 5rb</t>
  </si>
  <si>
    <t>Min RTH IDM (S 384.d)</t>
  </si>
  <si>
    <t>Jumlah Penduduk</t>
  </si>
  <si>
    <t>ada di IDM (258)</t>
  </si>
  <si>
    <t>ada di IDM (259)</t>
  </si>
  <si>
    <t>ada di IDM (260)</t>
  </si>
  <si>
    <t>Jumlah Penduduk Usia 0 - 4 Tahun</t>
  </si>
  <si>
    <t>Total Penduduk Usia &lt;= Total Penduduk</t>
  </si>
  <si>
    <t>Jumlah Penduduk usia 5 - 9 Tahun</t>
  </si>
  <si>
    <t>Jumlah Penduduk Usia 10-14 Tahun</t>
  </si>
  <si>
    <t>Jumlah penduduk Usia 15-59 Tahun</t>
  </si>
  <si>
    <t>Jumlah penduduk Usia lebih dari 59 Tahun</t>
  </si>
  <si>
    <t>Jumlah kepala keluarga di desa</t>
  </si>
  <si>
    <t>ada di IDM (263)</t>
  </si>
  <si>
    <t>Pengeluaran Riil per kapita per tahun (atas dasar harga konstan)</t>
  </si>
  <si>
    <t>Jumlah pengangguran terbuka di desa</t>
  </si>
  <si>
    <t>Max Jlh Penduduk</t>
  </si>
  <si>
    <t>Jumlah penduduk miskin di desa</t>
  </si>
  <si>
    <t>LAYANAN DASAR</t>
  </si>
  <si>
    <t>1.A</t>
  </si>
  <si>
    <t>SUB-DIMENSI PENDIDIKAN</t>
  </si>
  <si>
    <t>AKSES TERHADAP PAUD/TK/Sederajat</t>
  </si>
  <si>
    <t>a</t>
  </si>
  <si>
    <t>Berapa jumlah PAUD/TK/Sederajat di Desa</t>
  </si>
  <si>
    <t>ada di IDM (S 355.p)</t>
  </si>
  <si>
    <t>b</t>
  </si>
  <si>
    <t>Ketersediaan PAUD/TK/Sederajat di Desa</t>
  </si>
  <si>
    <t>by system</t>
  </si>
  <si>
    <t>c</t>
  </si>
  <si>
    <t>Penyedia dukungan layanan PAUD/TK/Sederajat di Desa</t>
  </si>
  <si>
    <t>d</t>
  </si>
  <si>
    <t>Jarak untuk mengakses fasilitas PAUD/TK/Sederajat di Desa</t>
  </si>
  <si>
    <t>km</t>
  </si>
  <si>
    <t>ada di IDM (S 354.d)</t>
  </si>
  <si>
    <t>e</t>
  </si>
  <si>
    <t>Waktu tempuh untuk mengakses fasilitas PAUD/TK/Sederajat di Desa</t>
  </si>
  <si>
    <t>menit</t>
  </si>
  <si>
    <t>ada di IDM (S 354.e)</t>
  </si>
  <si>
    <t>f</t>
  </si>
  <si>
    <t>Ketersediaan sarana transportasi menuju PAUD/TK/Sederajat terdekat dari Desa</t>
  </si>
  <si>
    <t>g</t>
  </si>
  <si>
    <t>Kemudahan Akses menuju PAUD/TK/Sederajat terdekat di Desa</t>
  </si>
  <si>
    <t>h</t>
  </si>
  <si>
    <t xml:space="preserve">Kendala untuk mengakses fasilitas PAUD/TK/Sederajat di Desa </t>
  </si>
  <si>
    <t>i</t>
  </si>
  <si>
    <t>Jumlah anak usia 3 - 6 tahun yang ada di Desa</t>
  </si>
  <si>
    <t>orang</t>
  </si>
  <si>
    <t>ada di IDM (266.b)</t>
  </si>
  <si>
    <t>j</t>
  </si>
  <si>
    <t>Jumlah anak usia 3 - 6 tahun yang bersekolah PAUD/TK/Sederajat di desa</t>
  </si>
  <si>
    <t>max (ID 1i)</t>
  </si>
  <si>
    <t>k</t>
  </si>
  <si>
    <t>Angka Partisipasi Murni (APM) anak usia 3 - 6 tahun yang bersekolah PAUD/TK/Sederajat di desa</t>
  </si>
  <si>
    <t>by sistem</t>
  </si>
  <si>
    <t>EDIT FORMULA</t>
  </si>
  <si>
    <t>AKSES TERHADAP SD/MI/Sederajat</t>
  </si>
  <si>
    <t>Berapa jumlah SD/MI/Sederajat di Desa</t>
  </si>
  <si>
    <t>ada di IDM (S 346.a)</t>
  </si>
  <si>
    <t>Ketersediaan SD/MI/Sederajat di Desa</t>
  </si>
  <si>
    <t>Penyedia layanan SD/MI/Sederajat di Desa</t>
  </si>
  <si>
    <t>Jarak untuk mengakses fasilitas SD/MI/Sederajat di Desa</t>
  </si>
  <si>
    <t>ada di IDM (S 346.c)</t>
  </si>
  <si>
    <t>Waktu tempuh untuk mengakses fasilitas SD/MI/Sederajat di Desa</t>
  </si>
  <si>
    <t>ada di IDM (346.a)</t>
  </si>
  <si>
    <t>Ketersediaan sarana transportasi menuju SD/MI/Sederajat terdekat dari Desa</t>
  </si>
  <si>
    <t>Kemudahan Akses menuju SD/MI/Sederajat terdekat di Desa?</t>
  </si>
  <si>
    <t>Kendala untuk mengakses fasilitas SD/MI/Sederajat di Desa</t>
  </si>
  <si>
    <t>Jumlah anak usia 7-12 tahun yang ada di Desa</t>
  </si>
  <si>
    <t>ada di idm (266.c)</t>
  </si>
  <si>
    <t>Jumlah anak usia 7-12 tahun yang bersekolah SD/MI/Sederajat di desa</t>
  </si>
  <si>
    <t>max ID (2i)</t>
  </si>
  <si>
    <t>Angka Partisipasi Murni (APM)  anak usia 7-12 tahun yang bersekolah SD/MI/Sederajat di desa</t>
  </si>
  <si>
    <t>AKSES TERHADAP SMP/MTs/Sederajat</t>
  </si>
  <si>
    <t>Berapa jumlah SMP/MTs/Sederajat di Desa</t>
  </si>
  <si>
    <t>koreksi</t>
  </si>
  <si>
    <t>ada di idm ( S 347.a)</t>
  </si>
  <si>
    <t>Ketersediaan SMP/MTs/Sederajat di Desa</t>
  </si>
  <si>
    <t>Penyedia dukungan layanan SMP/MTs/Sederajat di Desa</t>
  </si>
  <si>
    <t>Jarak untuk mengakses fasilitas  SMP/MTs/Sederajat di Desa</t>
  </si>
  <si>
    <t>ada di idm ( S 347.c)</t>
  </si>
  <si>
    <t>Waktu tempuh untuk mengakses fasilitas  SMP/MTs/Sederajat di Desa</t>
  </si>
  <si>
    <t>ada di idm ( S 347.d)</t>
  </si>
  <si>
    <t>Ketersediaan sarana transportasi menuju  SMP/MTs/Sederajat terdekat dari Desa</t>
  </si>
  <si>
    <t>Kemudahan Akses menuju SMP/MTs/Sederajat terdekat di Desa?</t>
  </si>
  <si>
    <t>Kendala untuk mengakses fasilitas  SMP/MTs/Sederajat di Desa</t>
  </si>
  <si>
    <t>Jumlah anak usia 13-15 tahun yang ada di Desa</t>
  </si>
  <si>
    <t>ada di IDM (266.d)</t>
  </si>
  <si>
    <t>Jumlah anak usia 13-15 tahun yang bersekolah SMP/MTs/Sederajat di desa</t>
  </si>
  <si>
    <t>max 2i</t>
  </si>
  <si>
    <t>Angka Partisipasi Murni (APM)  anak usia 13-15 tahun yang bersekolah SMP/MTs/Sederajat di desa</t>
  </si>
  <si>
    <t>AKSES TERHADAP SMA/SMK/MA/MAK/Sederajat</t>
  </si>
  <si>
    <t>Berapa jumlah SMA/SMK/MA/MAK/Sederajat di Desa</t>
  </si>
  <si>
    <t>Koreksi</t>
  </si>
  <si>
    <t>ada di idm (S 348.a)</t>
  </si>
  <si>
    <t>Ketersediaan SMA/SMK/MA/MAK/Sederajat</t>
  </si>
  <si>
    <t>max ID (4.a)</t>
  </si>
  <si>
    <t>Penyedia dukungan layanan SMA/SMK/MA/MAK/Sederajat di Desa</t>
  </si>
  <si>
    <t>Jarak untuk mengakses fasilitas SMA/SMK/MA/MAK/Sederajat di Desa</t>
  </si>
  <si>
    <t>ada di idm (S 348.c)</t>
  </si>
  <si>
    <t>Waktu tempuh untuk mengakses fasilitas  SMA/SMK/MA/MAK/Sederajat di Desa</t>
  </si>
  <si>
    <t>ada di idm (S 348.d)</t>
  </si>
  <si>
    <t>Kemudahan Akses menuju SMA/SMK/MA/MAK/Sederajat terdekat di Desa?</t>
  </si>
  <si>
    <t>Kendala untuk mengakses fasilitas  SMA/SMK/MA/MAK/Sederajat di Desa</t>
  </si>
  <si>
    <t>Jumlah anak usia 16-18 tahun yang ada di Desa</t>
  </si>
  <si>
    <t>ada di idm (266.e)</t>
  </si>
  <si>
    <t>Jumlah anak usia 16-18 tahun yang bersekolah SMA/SMK/MA/MAK/Sederajat di desa</t>
  </si>
  <si>
    <t>Angka Partisipasi Murni (APM)  anak usia 16-18 tahun yang bersekolah SMA/SMK/MA/MAK/Sederajat di desa</t>
  </si>
  <si>
    <t>PERTANYAAN TAMBAHAN</t>
  </si>
  <si>
    <t xml:space="preserve">Rata-rata Lama Sekolah (RLS) penduduk umur ≥15 tahun </t>
  </si>
  <si>
    <t>max 15</t>
  </si>
  <si>
    <r>
      <t xml:space="preserve">Harapan Lama Sekolah (HLS) penduduk umur </t>
    </r>
    <r>
      <rPr>
        <sz val="11"/>
        <color rgb="FF000000"/>
        <rFont val="Aptos narrow"/>
      </rPr>
      <t>≤</t>
    </r>
    <r>
      <rPr>
        <sz val="11"/>
        <color rgb="FF000000"/>
        <rFont val="Calibri"/>
      </rPr>
      <t>15 tahun</t>
    </r>
  </si>
  <si>
    <t>Apakah Pemerintah Daerah menyediakan dukungan beasiswa bagi siswa yang kurang mampu?</t>
  </si>
  <si>
    <r>
      <t xml:space="preserve">i. </t>
    </r>
    <r>
      <rPr>
        <b/>
        <sz val="11"/>
        <color rgb="FF000000"/>
        <rFont val="Calibri"/>
      </rPr>
      <t>Jika TERSEDIA</t>
    </r>
    <r>
      <rPr>
        <sz val="11"/>
        <color rgb="FF000000"/>
        <rFont val="Calibri"/>
      </rPr>
      <t>, dalam bentuk apa dukungan beasiswa diberikan?</t>
    </r>
  </si>
  <si>
    <t>Pemberian dalam bentuk Uang, Seragam Sekolah dan Sepatu</t>
  </si>
  <si>
    <t>Apakah ada anak berkebutuhan khusus yang berada di desa dan dapat mengakses Program Pendidikan PAUD/SD/SMP/SMA/SMK/Pendidikan Kesetaraan?</t>
  </si>
  <si>
    <t>1.B</t>
  </si>
  <si>
    <t>SUB-DIMENSI KESEHATAN</t>
  </si>
  <si>
    <t>Layanan Sarana Kesehatan</t>
  </si>
  <si>
    <t>Ketersediaan Sarana Kesehatan di Desa:</t>
  </si>
  <si>
    <t>i. Rumah Sakit</t>
  </si>
  <si>
    <t>Tidak Tersedia</t>
  </si>
  <si>
    <t>ii. Puskesmas</t>
  </si>
  <si>
    <t>iii. Tempat Praktik Dokter</t>
  </si>
  <si>
    <t>iv. Tempat Praktik Bidan</t>
  </si>
  <si>
    <t>v. Rumah Bersalin</t>
  </si>
  <si>
    <t>Jumlah fasilitas kesehatan yang ada di desa</t>
  </si>
  <si>
    <t>Jika tersedia, sebutkan jenis sarana kesehatan yang terdapat di Desa (Apotek/Toko Obat/Praktek Mantri/sarana kesehatan lainnya yang ada di Desa)</t>
  </si>
  <si>
    <t>pustu, pusyandu, poskesde, apotik, toko obat, tempat dan layanan praktek mantri</t>
  </si>
  <si>
    <t>Penyedia dukungan Sarana Kesehatan (Pemerintah/Yayasan/Swasta/Masyarakat)</t>
  </si>
  <si>
    <t>Tersedia</t>
  </si>
  <si>
    <t>Jarak untuk mengakses Sarana Kesehatan di Desa</t>
  </si>
  <si>
    <t>Waktu tempuh untuk mengakses Sarana Kesehatan di Desa</t>
  </si>
  <si>
    <t>max 180</t>
  </si>
  <si>
    <t>Apakah terdapat Penyedia Transportasi penunjang menuju Sarana Kesehatan Terdekat</t>
  </si>
  <si>
    <t>Kemudahan akses menuju Sarana Kesehatan</t>
  </si>
  <si>
    <r>
      <rPr>
        <b/>
        <sz val="11"/>
        <color rgb="FF000000"/>
        <rFont val="Calibri"/>
      </rPr>
      <t>Jika Terdapat Penyediaan Transportasi Penunjang</t>
    </r>
    <r>
      <rPr>
        <sz val="11"/>
        <color rgb="FF000000"/>
        <rFont val="Calibri"/>
      </rPr>
      <t>, oleh Pemerintah Desa/ Masyarakat. Apa Jenis Transportasi Tersebut? (Selain yang disediakan oleh Pemerintah Daerah)</t>
    </r>
  </si>
  <si>
    <t>(a). Transportasi Umum (Bus, Angkot, dll)</t>
  </si>
  <si>
    <t>(b). Mobil Pribadi</t>
  </si>
  <si>
    <t>(c). Motor</t>
  </si>
  <si>
    <t>(d). Perahu</t>
  </si>
  <si>
    <t>(e). Lainnya, Sebutkan</t>
  </si>
  <si>
    <t>Speed Boat</t>
  </si>
  <si>
    <t>Fasilitas Kesehatan Pustu/Poskesdes/Polindes</t>
  </si>
  <si>
    <t>Jumlah fasilitas kesehatan Pustu/ poskesdes/ polindes di desa</t>
  </si>
  <si>
    <t>max 3</t>
  </si>
  <si>
    <t>Ketersediaan Fasilitas Kesehatan Pustu/ Poskesdes/ Polindes di Desa</t>
  </si>
  <si>
    <t>Jarak menuju Pustu/ Poskesdes/ Polindes di Desa</t>
  </si>
  <si>
    <t>ada di IDM (S 315.b)</t>
  </si>
  <si>
    <t>Waktu tempuh menuju Pustu/ Poskesdes/ Polindes di Desa</t>
  </si>
  <si>
    <t>ada di IDM (S 315.c)</t>
  </si>
  <si>
    <t>Ketersediaan sarana transportasi menuju Pustu/ Poskesdes/ Polindes di Desa</t>
  </si>
  <si>
    <t>Kemudahan akses menuju Fasilitas Kesehatan Pustu/ Poskesdes/Polindes</t>
  </si>
  <si>
    <t>Aktivitas Posyandu</t>
  </si>
  <si>
    <t>Ketersediaan Fasilitas Posyandu di Desa</t>
  </si>
  <si>
    <t>Terdapat Aktivitas Posyandu</t>
  </si>
  <si>
    <t>i. Jika Terdapat Aktivitas, Apa saja bentuk aktivitasnya? (sebutkan)</t>
  </si>
  <si>
    <t>Penimbangan, Pengukuran Tinggi Badan, Pengukuran Berat Badan, Pengukuran Lingkar Kepala, Pengukuran Lingkar Lengan, Pemberian Imunisasi</t>
  </si>
  <si>
    <t>5</t>
  </si>
  <si>
    <t>Jarak menuju Posyandu di Desa</t>
  </si>
  <si>
    <t>max 10000</t>
  </si>
  <si>
    <t>Waktu tempuh menuju Posyandu di Desa</t>
  </si>
  <si>
    <t>Ketersediaan sarana transportasi menuju Posyandu di Desa</t>
  </si>
  <si>
    <t>Kemudahan akses menuju Fasilitas Posyandu</t>
  </si>
  <si>
    <t>Koreksi ganti formula (jarak-waktu terbalik)</t>
  </si>
  <si>
    <t>Layanan Dokter</t>
  </si>
  <si>
    <t>Apakah tersedia layanan dokter di desa?</t>
  </si>
  <si>
    <t>ada di IDM (S 313.a)</t>
  </si>
  <si>
    <t xml:space="preserve">Melalui sarana kesehatan apa dokter tersebut memberikan layanan di desa? </t>
  </si>
  <si>
    <t>Puskesmas</t>
  </si>
  <si>
    <t>Jumlah fasilitas praktik dokter di desa</t>
  </si>
  <si>
    <t>Berapa lama/hari ketersediaan layanan dokter di desa?</t>
  </si>
  <si>
    <t>Penyedia layanan dokter di desa berasal dari?</t>
  </si>
  <si>
    <t>Terdapat Penyedia Transportasi penunjang menuju layanan Dokter</t>
  </si>
  <si>
    <t>Jika Terdapat Penyedia Sarana Akomodasi/Transportasi penunjang pelayanan dokter oleh Pemerintah Desa/ Masyarakat, Apa Jenis Transportasi penunjang tersebut?</t>
  </si>
  <si>
    <t>(i). Transportasi Umum (Bus, Angkot, dll)</t>
  </si>
  <si>
    <t>(ii). Mobil Pribadi</t>
  </si>
  <si>
    <t>(iii). Motor</t>
  </si>
  <si>
    <t>(iv). Perahu</t>
  </si>
  <si>
    <t>(v). Jika ada Lainnya, (Sebutkan)</t>
  </si>
  <si>
    <t>Layanan Bidan</t>
  </si>
  <si>
    <t>Apakah Tersedia layanan Bidan di Desa?</t>
  </si>
  <si>
    <t>ada di IDM (S 312.a)</t>
  </si>
  <si>
    <t>Jumlah fasilitas praktik bidan di desa</t>
  </si>
  <si>
    <t>Melalui sarana kesehatan apa Bidan tersebut memberikan layanan di desa?</t>
  </si>
  <si>
    <t>Berapa lama/hari ketersediaan layanan Bidan di desa?</t>
  </si>
  <si>
    <t>Penyedia layanan Bidan di desa berasal dari?</t>
  </si>
  <si>
    <t>Terdapat Penyedia Transportasi penunjang menuju layanan Bidan</t>
  </si>
  <si>
    <t>Jika Terdapat Penyedia Sarana Akomodasi/Transportasi penunjang pelayanan Bidan oleh Pemerintah Desa/ Masyarakat, Apa Jenis Transportasi penunjang tersebut?</t>
  </si>
  <si>
    <t>Layanan Tenaga Kesehatan Lainnya</t>
  </si>
  <si>
    <t>Apakah Tersedia layanan Tenaga Kesehatan di Desa?</t>
  </si>
  <si>
    <t>ada di IDM (S 314.a)</t>
  </si>
  <si>
    <t>Jumlah fasilitas praktik tenaga kesehatan lainnya di desa</t>
  </si>
  <si>
    <t>unit</t>
  </si>
  <si>
    <t>Berapa lama/hari ketersediaan layanan Tenaga Kesehatan di desa?</t>
  </si>
  <si>
    <t>Penyedia layanan Tenaga Kesehatan di desa berasal dari?</t>
  </si>
  <si>
    <t>Terdapat Penyedia Transportasi penunjang menuju layanan Nakes</t>
  </si>
  <si>
    <t>Jika Terdapat Penyedia Sarana Akomodasi/Transportasi penunjang pelayanan Tenaga Kesehatan oleh Pemerintah Desa/ Masyarakat, Apa Jenis Transportasi penunjang tersebut?</t>
  </si>
  <si>
    <t>Ambulance</t>
  </si>
  <si>
    <t>Jaminan Kesehatan Nasional</t>
  </si>
  <si>
    <t>Berapa Jumlah penduduk yang memiliki keanggotaan BPJS</t>
  </si>
  <si>
    <t>Ada Di IDM (S 317.a)</t>
  </si>
  <si>
    <t>Persentase keanggotaan BPJS</t>
  </si>
  <si>
    <t>EDIT Formula</t>
  </si>
  <si>
    <t>Apakah terdapat kegiatan sosialisasi dan/atau advokasi terkait program jaminan kesehatan nasional di desa?</t>
  </si>
  <si>
    <t>koreksi Pilihan</t>
  </si>
  <si>
    <t>Jika Ya, apa bentuk kegiatan sosialisasi dan/atau advokasi tersebut?</t>
  </si>
  <si>
    <t>Sosialisasi terkait BPJS Kesehatan</t>
  </si>
  <si>
    <t>1.C</t>
  </si>
  <si>
    <t>Sub-Dimensi Utilitas Dasar</t>
  </si>
  <si>
    <t>Sistem Pembuangan Air Limbah Domestik (Rumah Tangga)</t>
  </si>
  <si>
    <t>Ketersediaan sebagian besar Jamban rumah tangga di Desa</t>
  </si>
  <si>
    <t>Jumlah rumah yang memiliki jamban individu di Desa</t>
  </si>
  <si>
    <t>max ID (8)</t>
  </si>
  <si>
    <t xml:space="preserve"> </t>
  </si>
  <si>
    <t>i. Ketersediaan dan kepemilikan Jamban di Desa</t>
  </si>
  <si>
    <t>ii. Keberfungsian jamban</t>
  </si>
  <si>
    <t>Ketersediaan sebagian besar Septic Tank rumah tangga di Desa</t>
  </si>
  <si>
    <t>i. Ketersediaan Septic Tank (Pilihan: Komunal / Individual)</t>
  </si>
  <si>
    <t>ii. Keberfungsian Septic Tank</t>
  </si>
  <si>
    <t>Pembuangan Air Limbah Cair Rumah Tangga</t>
  </si>
  <si>
    <t>Air Minum</t>
  </si>
  <si>
    <t>Darimana sebagian besar sumber air minum warga desa?</t>
  </si>
  <si>
    <t>i. PDAM/layanan air minum perpipaan lainnya</t>
  </si>
  <si>
    <t>ada di IDM (S 390.b - S 390.c)</t>
  </si>
  <si>
    <t>ii. Air Tanah/sumur</t>
  </si>
  <si>
    <t>ada di IDM (S 390.d - S 390.e)</t>
  </si>
  <si>
    <t>iii. Air sungai/danau/kolam/waduk/situ/embung/lainnya</t>
  </si>
  <si>
    <t>ada di IDM (S 390.g)</t>
  </si>
  <si>
    <t>iv. Air Hujan</t>
  </si>
  <si>
    <t>ada di IDM (S 390.h)</t>
  </si>
  <si>
    <t>v. Air dari pegunungan/mata air tertentu</t>
  </si>
  <si>
    <t>ada di IDM (S 390.f)</t>
  </si>
  <si>
    <t>Hari operasional penyediaan Air Minum di Desa dalam kurun waktu satu minggu</t>
  </si>
  <si>
    <t>Jumlah rumah yang sudah terakses air minum di desa</t>
  </si>
  <si>
    <t>Ketersediaan Air Minum untuk warga desa</t>
  </si>
  <si>
    <t>Kemudahan akses Air Minum untuk warga di desa</t>
  </si>
  <si>
    <t>Kendala untuk mengakses Air Minum untuk warga di desa</t>
  </si>
  <si>
    <t>Tidak Ada Kendala</t>
  </si>
  <si>
    <t>Bagaimana Kualitas Air Minum di Desa (Tidak untuk Berbau, Berwarna, &amp; Berasa)</t>
  </si>
  <si>
    <t>Jumlah rumah yang sudah terakses listrik di desa</t>
  </si>
  <si>
    <t>Ketersediaan pelayanan listrik untuk rumah di desa?</t>
  </si>
  <si>
    <t>Berapa Lama Durasi layanan Listrik di Desa?</t>
  </si>
  <si>
    <t>Penyedia layanan listrik di Desa</t>
  </si>
  <si>
    <t>PLN</t>
  </si>
  <si>
    <t>Apakah jenis sumber listrik Non-PLN:</t>
  </si>
  <si>
    <t>i. energi Matahari/ PLTS</t>
  </si>
  <si>
    <t>ada di IDM (S 399.a)</t>
  </si>
  <si>
    <t>ii. energi Angin</t>
  </si>
  <si>
    <t>ada di IDM (S 399.b)</t>
  </si>
  <si>
    <t>iii. energi Biomassa/ Biogas</t>
  </si>
  <si>
    <t>ada di IDM (S 399.c)</t>
  </si>
  <si>
    <t>iv. energi Diesel</t>
  </si>
  <si>
    <t>ada di IDM (S 399.d)</t>
  </si>
  <si>
    <t>v. energi Bahan Bakar Hayati/nabati/organik Cair</t>
  </si>
  <si>
    <t>ada di IDM (S 399.e)</t>
  </si>
  <si>
    <t>vi.  energi Microhydro</t>
  </si>
  <si>
    <t>ada di IDM (S 399.f)</t>
  </si>
  <si>
    <t>vii.  energi Tenaga Panas Bumi</t>
  </si>
  <si>
    <t>ada di IDM (S 399.g)</t>
  </si>
  <si>
    <t>Jika terdapat sumber listrik yang berasal dari Non-PLN, siapa penyedia layanan listrik tersebut?</t>
  </si>
  <si>
    <t>Swadaya</t>
  </si>
  <si>
    <t>Layanan Telekomunikasi</t>
  </si>
  <si>
    <t>Ketersediaan Akses Telepon di sebagian besar wilayah Desa</t>
  </si>
  <si>
    <t>ada di idm (S 401)</t>
  </si>
  <si>
    <t>Ketersediaan Akses Internet di sebagian besar wilayah Desa</t>
  </si>
  <si>
    <t>S 401</t>
  </si>
  <si>
    <t>Jenis Operator/Provider sinyal yang dapat diakses oleh sebagian besar warga:</t>
  </si>
  <si>
    <t>i. Telkomsel</t>
  </si>
  <si>
    <t>ada di idm (S 401.a1)</t>
  </si>
  <si>
    <t>ii. Indosat</t>
  </si>
  <si>
    <t>ada di idm (S 401.b1)</t>
  </si>
  <si>
    <t>iii. XL-Axiata</t>
  </si>
  <si>
    <t>ada di idm (S 401.c1)</t>
  </si>
  <si>
    <t>iv. Axis</t>
  </si>
  <si>
    <t>v. Smartfren</t>
  </si>
  <si>
    <t>Persentase Rumah Tidak Layak Huni</t>
  </si>
  <si>
    <t>Berapa jumlah Rumah Tidak Layak Huni di Desa?</t>
  </si>
  <si>
    <t>Rumah Tanga</t>
  </si>
  <si>
    <t>ada di IDM (S 384.d)</t>
  </si>
  <si>
    <t>Apakah terdapat rumah tidak layak huni di desa?</t>
  </si>
  <si>
    <t>ID 16.a</t>
  </si>
  <si>
    <t>SOSIAL</t>
  </si>
  <si>
    <t>2.A</t>
  </si>
  <si>
    <t>SUB-DIMENSI AKTIVITAS</t>
  </si>
  <si>
    <t>Kearifan Sosial/Budaya</t>
  </si>
  <si>
    <t>Apakah terdapat kearifan budaya/sosial yang ada/menjadi ciri khas desa?</t>
  </si>
  <si>
    <t>Apa saja  kearifan budaya/sosial yang ada/menjadi ciri khas desa?</t>
  </si>
  <si>
    <t>Anyorong Lopi</t>
  </si>
  <si>
    <t>Apakah kearifan budaya/sosial tersebut masih dipertahankan/dilestarikan?</t>
  </si>
  <si>
    <t>Apa saja  kearifan budaya/sosial yang dipertahankan/dilestarikan tersebut?</t>
  </si>
  <si>
    <t>Frekuensi Gotong Royong</t>
  </si>
  <si>
    <t>Apakah terdapat kegiatan gotong royong di Desa?</t>
  </si>
  <si>
    <t>ada di idm (S 360.a)</t>
  </si>
  <si>
    <t>Jenis gotong royong di Desa:</t>
  </si>
  <si>
    <t>i. Gotong royong Sosial</t>
  </si>
  <si>
    <t>ii. Gotong royong Lingkungan</t>
  </si>
  <si>
    <t>iii. Gotong royong Ekonomi</t>
  </si>
  <si>
    <t>Frekuensi Kegiatan Gotong Royong di desa</t>
  </si>
  <si>
    <t>ada di idm frekuensi /tahun</t>
  </si>
  <si>
    <t>S 360.b</t>
  </si>
  <si>
    <t>Keterlibatan warga dalam kegiatan gotong royong</t>
  </si>
  <si>
    <t>ID 18.c</t>
  </si>
  <si>
    <t>Kegiatan Olahraga</t>
  </si>
  <si>
    <t>Terdapat pelaksanaan kegiatan olahraga di desa dalam satu bulan</t>
  </si>
  <si>
    <t>i. Kegiatan Sepak Bola</t>
  </si>
  <si>
    <t>Revisi Pilihan</t>
  </si>
  <si>
    <t>ii. Kegiatan Voli</t>
  </si>
  <si>
    <t>iii. Kegiatan Bulutangkis</t>
  </si>
  <si>
    <t>iv. Kegiatan Basket</t>
  </si>
  <si>
    <t>v.  KegiatanTenis Lapangan</t>
  </si>
  <si>
    <t>vi. Kegiatan Futsal</t>
  </si>
  <si>
    <t>vii. Kegiatan Renang</t>
  </si>
  <si>
    <t>viii. Kegiatan Tenis Meja</t>
  </si>
  <si>
    <t>Frekuensi kegiatan tersebut dilakukan dalam satu bulan</t>
  </si>
  <si>
    <t>Mitigasi dan Penanganan Konflik Sosial</t>
  </si>
  <si>
    <t>Apakah terdapat konflik di Desa selama setahun terakhir?</t>
  </si>
  <si>
    <t>ada di IDM (S 376.a)</t>
  </si>
  <si>
    <t>Jika Iya, apakah terdapat jenis konflik seperti berikut dalam 1 Tahun terakhir:</t>
  </si>
  <si>
    <t>i. Kejadian Konflik antarkelompok masyarakat</t>
  </si>
  <si>
    <t>ID 20.a</t>
  </si>
  <si>
    <t>ii. Jumlah Kejadian Konflik antarkelompok masyarakat</t>
  </si>
  <si>
    <t>Ada di IDM (S 376.b)</t>
  </si>
  <si>
    <t>i. Kejadian Konflik kelompok masyarakat antar Desa</t>
  </si>
  <si>
    <t>ii. Jumlah Kejadian Konflik kelompok masyarakat antar Desa</t>
  </si>
  <si>
    <t>Ada di IDM (S 376.c)</t>
  </si>
  <si>
    <t>i. Kejadian Konflik antara kelompok masyarakat dengan aparat keamanan</t>
  </si>
  <si>
    <t>ii. Jumlah Kejadian Konflik antara kelompok masyarakat dengan aparat keamanan</t>
  </si>
  <si>
    <t>Ada di IDM (S 376.d)</t>
  </si>
  <si>
    <t>i. Kejadian Konflik antara kelompok masyarakat dengan aparat pemerintah</t>
  </si>
  <si>
    <t>ii. Jumlah Kejadian Konflik antara kelompok masyarakat dengan aparat pemerintah</t>
  </si>
  <si>
    <t>Ada di IDM (S 376.e)</t>
  </si>
  <si>
    <t>i. Kejadian Konflik antarpelajar/ mahasiswa/pemuda</t>
  </si>
  <si>
    <t>ii. Jumlah Kejadian Konflik antarpelajar/ mahasiswa/pemuda</t>
  </si>
  <si>
    <t>Ada di IDM (S 376.f)</t>
  </si>
  <si>
    <t>i. Kejadian Konflik antar suku</t>
  </si>
  <si>
    <t>ii. Jumlah Kejadian Konflik antar suku</t>
  </si>
  <si>
    <t>Ada di IDM (S 376.g)</t>
  </si>
  <si>
    <t>i. Kejadian Konflik antar agama</t>
  </si>
  <si>
    <t>ii. Jumlah Kejadian Konflik antar agama</t>
  </si>
  <si>
    <t>Ada di IDM (S 376.h)</t>
  </si>
  <si>
    <t>i. Kejadian Konflik terkait lahan</t>
  </si>
  <si>
    <t>Ada di IDM (S 377.a)</t>
  </si>
  <si>
    <t>ii. Jumlah Kejadian Konflik terkait lahan</t>
  </si>
  <si>
    <t>Ganti Formula</t>
  </si>
  <si>
    <t>Ada di IDM (S 377.b)</t>
  </si>
  <si>
    <t>Upaya/mitigasi penanganan konflik di Desa seperti berikut:</t>
  </si>
  <si>
    <t>i. Penyelesaian Konflik secara damai</t>
  </si>
  <si>
    <t>ii. Peranan aparat keamanan menjadi mediator / penengah dalam penyelesaian Konflik</t>
  </si>
  <si>
    <t>Koreksi jawaban</t>
  </si>
  <si>
    <t>ada di idm (S 378.b)</t>
  </si>
  <si>
    <t>iii. Peranan aparat pemerintah menjadi mediator / penengah dalam penyelesaian Konflik</t>
  </si>
  <si>
    <t>ada di idm (S 378.c)</t>
  </si>
  <si>
    <t>iv. Peranan tokoh masyarakat menjadi mediator / penengah dalam penyelesaian Konflik</t>
  </si>
  <si>
    <t>ada di idm (S 378.d)</t>
  </si>
  <si>
    <t>v. Peranan tokoh agama menjadi mediator / penengah dalam penyelesaian Konflik</t>
  </si>
  <si>
    <t>ada di idm (S 378.e)</t>
  </si>
  <si>
    <t>Satkamling</t>
  </si>
  <si>
    <t>Apakah terdapat Satuan Keamanan Lingkungan (Satkamling) di Desa</t>
  </si>
  <si>
    <t>Apakah terdapat aktivitas Satuan Keamanan Lingkungan (Satkamling) di Desa</t>
  </si>
  <si>
    <t>2.B</t>
  </si>
  <si>
    <t>SUB-DIMENSI FASILITAS MASYARAKAT</t>
  </si>
  <si>
    <t>Taman Bacaan Masyarakat/ Perpustakaan Desa</t>
  </si>
  <si>
    <t>Apakah terdapat Taman Bacaan Masyarakat/ Perpustakaan Desa</t>
  </si>
  <si>
    <t>ada di idm (S 359.a)</t>
  </si>
  <si>
    <t>Hari operasional Taman Bacaan Masyarakat/ Perpustakaan Desa</t>
  </si>
  <si>
    <t>Fasilitas Olahraga</t>
  </si>
  <si>
    <t>Ketersediaan Fasilitas dan kondisi/keadaan sebagian besar Fasilitas olahraga di Desa</t>
  </si>
  <si>
    <t>i. Lapangan Sepak Bola</t>
  </si>
  <si>
    <t>ii. Lapangan Voli</t>
  </si>
  <si>
    <t>iii. Lapangan Bulutangkis</t>
  </si>
  <si>
    <t>ada di idm (S 366.a4)</t>
  </si>
  <si>
    <t>iv. Lapangan Basket</t>
  </si>
  <si>
    <t>ada di idm (S 366.a5)</t>
  </si>
  <si>
    <t>v. Tenis Lapangan</t>
  </si>
  <si>
    <t>ada di idm (S 366.a3)</t>
  </si>
  <si>
    <t>vi. Lapangan Futsal</t>
  </si>
  <si>
    <t>ada di idm (S 366.a2)</t>
  </si>
  <si>
    <t>vii. Kolam Renang</t>
  </si>
  <si>
    <t>viii. Tenis Meja</t>
  </si>
  <si>
    <t>ix. Lainnya</t>
  </si>
  <si>
    <t>Keberadaan Ruang Publik Terbuka</t>
  </si>
  <si>
    <t>Keberadaan ruang publik terbuka/keadaan sebagian besar Fasilitas Ruang Publik Terbuka di Desa</t>
  </si>
  <si>
    <r>
      <rPr>
        <strike/>
        <sz val="11"/>
        <color rgb="FFFF0000"/>
        <rFont val="Calibri"/>
      </rPr>
      <t>ada di idm, beda pilihan jawaban</t>
    </r>
    <r>
      <rPr>
        <sz val="11"/>
        <color rgb="FF000000"/>
        <rFont val="Calibri"/>
      </rPr>
      <t xml:space="preserve">
tidak terhubung dengan IDM</t>
    </r>
  </si>
  <si>
    <t>S 361.b</t>
  </si>
  <si>
    <t>Jika terdapat Fasilitas RTH (Ruang terbuka Hijau) , apa jenis fasilitas yang terdapat di Desa?</t>
  </si>
  <si>
    <t>revisi jadi Tidak Ada Pilihan</t>
  </si>
  <si>
    <t>i. Taman Desa</t>
  </si>
  <si>
    <t>ii. Jalur Hijau Sepanjang Jalan/Sungai/Danau di desa</t>
  </si>
  <si>
    <t>iii. Hutan Desa</t>
  </si>
  <si>
    <t>Jika terdapat Fasilitas RTNH (Ruang terbuka Non Hijau) , apa jenis fasilitas yang terdapat di Desa?</t>
  </si>
  <si>
    <t>i. Pelataran</t>
  </si>
  <si>
    <t>ii. Landmark</t>
  </si>
  <si>
    <t>iii. Lainnya</t>
  </si>
  <si>
    <t>EKONOMI</t>
  </si>
  <si>
    <t>3.A</t>
  </si>
  <si>
    <t>SUB-DIMENSI PRODUKSI DESA</t>
  </si>
  <si>
    <t>Keragaman Aktivitas Ekonomi</t>
  </si>
  <si>
    <t>Keragaman Aktivitas Ekonomi di Desa</t>
  </si>
  <si>
    <t>Keaktifan Aktivitas Ekonomi di Desa</t>
  </si>
  <si>
    <t>Produk Unggulan Desa</t>
  </si>
  <si>
    <t>Ketersediaan Produk Unggulan Desa</t>
  </si>
  <si>
    <t>Cakupan pasar Produk Unggulan Desa</t>
  </si>
  <si>
    <t>Ketersediaan merek dagang</t>
  </si>
  <si>
    <t>Ekonomi Kreatif</t>
  </si>
  <si>
    <t>Terdapat Kearifan lokal atau kebudayaan lokal yang di jadikan sebagai kegiatan ekonomi dalam menunjang penghidupan masyarakat di desa?</t>
  </si>
  <si>
    <t>Jika Terdapat Ekonomi kreatif berbasis kearifan lokal, sebutkan jenis ekonomi tersebut</t>
  </si>
  <si>
    <t>Apakah telah dilakukan kerjasama desa dengan desa lainnya?</t>
  </si>
  <si>
    <t>Apakah telah dilakukan kerjasama desa dengan pihak ketiga?</t>
  </si>
  <si>
    <t>3.B</t>
  </si>
  <si>
    <t>SUB-DIMENSI FASILTAS PENDUKUNG EKONOMI</t>
  </si>
  <si>
    <t>Akses Terhadap Pendidikan Non-formal/Pusat Keterampilan/Kursus</t>
  </si>
  <si>
    <t>Ketersediaan Pendidikan Non-formal/Pusat Keterampilan/Kursus</t>
  </si>
  <si>
    <t>ada di idm (S 357.a)</t>
  </si>
  <si>
    <t>Keterlibatan Pendidikan Non-formal/Pusat Keterampilan/Kursus</t>
  </si>
  <si>
    <t>Penyedia layanan Pendidikan Non-formal/Pusat Keterampilan/Kursus</t>
  </si>
  <si>
    <t>Jika Terdapat, Pendidikan Non-Formal/ Pusat Keterampilan/ Kursus apa saja yang diajarkan?</t>
  </si>
  <si>
    <t>Tahfidz Al-Qur'an</t>
  </si>
  <si>
    <t>Pasar Rakyat</t>
  </si>
  <si>
    <t>Ketersediaan Pasar di Desa</t>
  </si>
  <si>
    <t>ada di idm (E 518, E 519, E 520.b)</t>
  </si>
  <si>
    <t xml:space="preserve">Jenis pasar yang tersedia di Desa </t>
  </si>
  <si>
    <t>Penambahan Pilihan Jawaban</t>
  </si>
  <si>
    <t>tidak ada pilihannya</t>
  </si>
  <si>
    <t>Waktu tempuh menuju pasar di Desa</t>
  </si>
  <si>
    <t>Max 180</t>
  </si>
  <si>
    <t>Jarak menuju pasar di Desa</t>
  </si>
  <si>
    <t>Ketersediaan sarana transportasi menuju pasar di Desa</t>
  </si>
  <si>
    <t>Kemudahan akses menuju pasar di Desa</t>
  </si>
  <si>
    <t>Toko/Pertokoan</t>
  </si>
  <si>
    <t>Ketersediaan Toko/Pertokoan  di Desa</t>
  </si>
  <si>
    <t>ada di IDM (E 517.a)</t>
  </si>
  <si>
    <t>Waktu tempuh menuju toko/pertokoan di Desa</t>
  </si>
  <si>
    <t>Jarak menuju toko/pertokoan di Desa</t>
  </si>
  <si>
    <t>ada di IDM (E 517.b)</t>
  </si>
  <si>
    <t>Ketersediaan sarana transportasi menuju toko/pertokoan di Desa</t>
  </si>
  <si>
    <t>Kemudahan akses menuju toko/pertokoan di Desa</t>
  </si>
  <si>
    <t>Kedai/Rumah Makan</t>
  </si>
  <si>
    <t>Ketersediaan Kedai/Rumah Makan di Desa</t>
  </si>
  <si>
    <t>ada di IDM (E 522)</t>
  </si>
  <si>
    <t>Waktu tempuh menuju Kedai/Rumah Makan di Desa</t>
  </si>
  <si>
    <t>Jarak menuju Kedai/Rumah Makan di Desa</t>
  </si>
  <si>
    <t>Ketersediaan sarana transportasi menuju Kedai/Rumah Makan di Desa</t>
  </si>
  <si>
    <t>Kemudahan akses menuju Kedai/Rumah Makan di Desa</t>
  </si>
  <si>
    <t>Penginapan</t>
  </si>
  <si>
    <t>Ketersediaan Penginapan di Desa</t>
  </si>
  <si>
    <t>ada di IDM (E 523.a)</t>
  </si>
  <si>
    <t>Waktu tempuh menuju Penginapan di Desa</t>
  </si>
  <si>
    <t>ada di IDM (E 523.c)</t>
  </si>
  <si>
    <t>Jarak menuju Penginapan di Desa</t>
  </si>
  <si>
    <t>ada di IDM (E 523.b)</t>
  </si>
  <si>
    <t>Ketersediaan sarana transportasi menuju Penginapan di Desa</t>
  </si>
  <si>
    <t>Kemudahan akses menuju Penginapan di Desa</t>
  </si>
  <si>
    <t>Layanan Pos dan Logistik</t>
  </si>
  <si>
    <t>Ketersediaan Layanan Pos dan/ Logistik di Desa</t>
  </si>
  <si>
    <t>ada di IDM (E 528.a dan E 529.a)</t>
  </si>
  <si>
    <t>Waktu tempuh menuju Layanan Pos dan Logistik di Desa</t>
  </si>
  <si>
    <t>Jarak menuju Layanan Pos dan Logistik di Desa</t>
  </si>
  <si>
    <t>GANTI FORMULA</t>
  </si>
  <si>
    <t>ada di IDM (E 528.b dan E 529.b)</t>
  </si>
  <si>
    <t>Ketersediaan sarana transportasi menuju Layanan Pos dan Logistik di Desa</t>
  </si>
  <si>
    <t>Kemudahan akses menuju Layanan Pos dan Logistik di Desa</t>
  </si>
  <si>
    <t>Lembaga Ekonomi</t>
  </si>
  <si>
    <t>Apakah terdapat BUM Desa/BUM Desa Bersama di Desa?</t>
  </si>
  <si>
    <t>Ada di IDM (E 538.a)</t>
  </si>
  <si>
    <t>Apakah BUM Desa/BUM Desa Bersama tersebut sudah berbadan hukum?</t>
  </si>
  <si>
    <t>i. Nomor sertifikat BUM Desa/BUM Desa Bersama tersebut</t>
  </si>
  <si>
    <t>isian</t>
  </si>
  <si>
    <t>AHU-00604.AH.01.35.TAHUN 2023</t>
  </si>
  <si>
    <t>Hari Operasional BUM Desa/BUM Desa Bersama</t>
  </si>
  <si>
    <t xml:space="preserve">Ketersediaan Lembaga Ekonomi lainnya di Desa (selain BUM Desa/BUM Desa bersama): </t>
  </si>
  <si>
    <t>i. Ketersediaan KUD</t>
  </si>
  <si>
    <t>ii. Ketersediaan UMKM</t>
  </si>
  <si>
    <t>Ada di IDM (E 515.g)</t>
  </si>
  <si>
    <t>Layanan Keuangan</t>
  </si>
  <si>
    <t>Ketersediaan layanan perbankan di desa</t>
  </si>
  <si>
    <t>Ada di IDM (E 533.a)</t>
  </si>
  <si>
    <t>i. Hari operasional layanan perbankan</t>
  </si>
  <si>
    <r>
      <rPr>
        <sz val="11"/>
        <color rgb="FF000000"/>
        <rFont val="Calibri"/>
      </rPr>
      <t>Ketersediaan</t>
    </r>
    <r>
      <rPr>
        <b/>
        <sz val="11"/>
        <color rgb="FF000000"/>
        <rFont val="Calibri"/>
      </rPr>
      <t xml:space="preserve"> </t>
    </r>
    <r>
      <rPr>
        <sz val="11"/>
        <color rgb="FF000000"/>
        <rFont val="Calibri"/>
      </rPr>
      <t xml:space="preserve">Layanan Fasilitas Kredit </t>
    </r>
  </si>
  <si>
    <t>i. Terdapat Layanan Fasilitas Kredit Berupa KUR</t>
  </si>
  <si>
    <t>Ada di IDM (E 536.a)</t>
  </si>
  <si>
    <t xml:space="preserve">ii. Terdapat Layanan Fasilitas Kredit Berupa KKP-E </t>
  </si>
  <si>
    <t>Ada di IDM (E 536.b)</t>
  </si>
  <si>
    <t xml:space="preserve">iii. Terdapat Layanan Fasilitas Kredit Berupa KUK </t>
  </si>
  <si>
    <t>Ada di IDM (E 536.c)</t>
  </si>
  <si>
    <t xml:space="preserve">Status  Layanan Fasilitas Kredit </t>
  </si>
  <si>
    <t>LINGKUNGAN</t>
  </si>
  <si>
    <t>4.A</t>
  </si>
  <si>
    <t>SUB-DIMENSI PENGELOLAAN LINGKUNGAN</t>
  </si>
  <si>
    <t>Kearifan Lingkungan</t>
  </si>
  <si>
    <t>Apakah terdapat atraksi alam/sumberdaya alam/keindahan alam di desa?</t>
  </si>
  <si>
    <t>Apakah terdapat upaya menjaga/mempertahankan/melestarikan kearifan lingkungan berupa atraksi alam/sumberdaya alam/keindahan alam yang ada di desa</t>
  </si>
  <si>
    <t>Apa saja upaya menjaga/mempertahankan/melestarikan kearifan lingkungan berupa atraksi alam/sumberdaya alam/keindahan alam yang ada di desa</t>
  </si>
  <si>
    <t>Apakah terdapat peraturan/regulasi yang mengatur terkait pelestarian lingkungan di Desa?</t>
  </si>
  <si>
    <t>Apakah terdapat kegiatan pelestarian lingkungan berbasis kearifan lokal di bidang lingkungan di Desa (seperti Awik-awik)?</t>
  </si>
  <si>
    <t>Apakah terdapat pemanfaatan Energi Baru Terbarukan di desa?
(tenaga surya/angin/mikrohidro/biogas/biomassa/pasang surut/arus laut)</t>
  </si>
  <si>
    <t>Jika terdapat, apa jenis pemanfaatan Energi Baru Terbarukan yang ada di desa?</t>
  </si>
  <si>
    <t>Arsinum</t>
  </si>
  <si>
    <t>Peruntukan pemanfaatan Energi terbarukan yang ada di Desa</t>
  </si>
  <si>
    <t>Masyarakat Pulau Liukangloe</t>
  </si>
  <si>
    <t>Sistem Pengelolaan Sampah</t>
  </si>
  <si>
    <t>Tempat pembuangan sampah di Desa</t>
  </si>
  <si>
    <t>Jenis tempat pembuangan sampah di Desa</t>
  </si>
  <si>
    <t>Tempat Pembuangan Akhir</t>
  </si>
  <si>
    <t>Dilakukan pengolahan sampah di desa</t>
  </si>
  <si>
    <t>Jika sampah diolah, apa jenis pengolahan tersebut?</t>
  </si>
  <si>
    <t>Dilakukan pemanfaatan sampah di desa</t>
  </si>
  <si>
    <t>Jika sampah dimanfaatkan, apa jenis pemanfaatan tersebut?</t>
  </si>
  <si>
    <t>Tingkat Pencemaran Lingkungan</t>
  </si>
  <si>
    <t>Terdapat  pencemaran air di Desa dalam setahun terakhir</t>
  </si>
  <si>
    <t>ada di IDM (L 503.a)</t>
  </si>
  <si>
    <t>Terdapat pencemaran tanah di Desa dalam setahun terakhir</t>
  </si>
  <si>
    <t>ada di IDM (L 503.b)</t>
  </si>
  <si>
    <t>Terdapat pencemaran udara di Desa dalam setahun terakhir</t>
  </si>
  <si>
    <t>ada di IDM (L 503.c)</t>
  </si>
  <si>
    <t>Total Kejadian pencemaran lingkungan</t>
  </si>
  <si>
    <t>Rata-rata kejadian pencemaran lingkungan</t>
  </si>
  <si>
    <t>4.B</t>
  </si>
  <si>
    <t>SUB-DIMENSI PENANGGULANGAN BENCANA</t>
  </si>
  <si>
    <t>Penanggulangan Bencana</t>
  </si>
  <si>
    <t>Apakah terdapat kejadian bencana dalam kurun waktu satu tahun terakhir</t>
  </si>
  <si>
    <t>i. Kejadian Bencana Tanah Longsor dalam Setahun Terakhir</t>
  </si>
  <si>
    <t>ada di IDM (L 508.a)</t>
  </si>
  <si>
    <t>ii. Kejadian Bencana Banjir dalam Setahun Terakhir</t>
  </si>
  <si>
    <t>ada di IDM (L 508.b)</t>
  </si>
  <si>
    <t>iii. Kejadian Bencana Gempa Bumi dalam Setahun Terakhir</t>
  </si>
  <si>
    <t>ada di IDM (L 508.c)</t>
  </si>
  <si>
    <t>iv. Kejadian Bencana Tsunami dalam Setahun Terakhir</t>
  </si>
  <si>
    <t>ada di IDM (L 508.d)</t>
  </si>
  <si>
    <t>v. Kejadian Bencana Gelombang Pasang Laut dalam Setahun Terakhir</t>
  </si>
  <si>
    <t>ada di IDM (L 508.e)</t>
  </si>
  <si>
    <t>vi. Kejadian Bencana Angin Puyuh / Puting Beliung / Topan dalam Setahun Terakhir</t>
  </si>
  <si>
    <t>ada di IDM (L 508.f)</t>
  </si>
  <si>
    <t>vii. Kejadian Bencana Gunung Meletus dalam Setahun Terakhir</t>
  </si>
  <si>
    <t>ada di IDM (L 508.g)</t>
  </si>
  <si>
    <t>viii. Kejadian Bencana Kebakaran Hutan dalam Setahun Terakhir</t>
  </si>
  <si>
    <t>ada di IDM (L 508.h)</t>
  </si>
  <si>
    <t>ix. Kejadian Bencana Kekeringan Lahan dalam Setahun Terakhir</t>
  </si>
  <si>
    <t>ada di IDM (L 508.i)</t>
  </si>
  <si>
    <t>x. Kejadian Bencana luar biasa/non-alam seperti pandemi, endemi, dll</t>
  </si>
  <si>
    <t>Ketersediaan aspek informasi kebencanaan</t>
  </si>
  <si>
    <t xml:space="preserve">Ketersediaan Fasilitas Mitigasi Bencana </t>
  </si>
  <si>
    <t>ada di IDM (L 509.b, L 509.c, L 509.d)</t>
  </si>
  <si>
    <t>Waktu tempuh menuju fasilitas mitigasi bencana</t>
  </si>
  <si>
    <t>Jarak menuju fasilitas mitigasi bencana</t>
  </si>
  <si>
    <t>Ketersediaan sarana transportasi menuju fasilitas mitigasi bencana</t>
  </si>
  <si>
    <t>Kemudahan akses menuju fasilitas mitigasi bencana</t>
  </si>
  <si>
    <t>Terdapat aktivitas Mitigasi dan atau Rehabilitasi bencana di Desa</t>
  </si>
  <si>
    <t>Ketersediaan fasilitas aspek tanggap darurat bencana</t>
  </si>
  <si>
    <t>AKSESIBILITAS</t>
  </si>
  <si>
    <t>5.A</t>
  </si>
  <si>
    <t>SUB-DIMENSI KONDISI AKSES JALAN</t>
  </si>
  <si>
    <t>Kondisi Jalan di desa</t>
  </si>
  <si>
    <t>Jenis Permukaan Jalan sebagian besar di desa</t>
  </si>
  <si>
    <t>ada di IDM (E 599)</t>
  </si>
  <si>
    <t>Jenis jalan yang ada di Desa</t>
  </si>
  <si>
    <t>i. Jalan Nasional</t>
  </si>
  <si>
    <t>Koreksi Pilihan</t>
  </si>
  <si>
    <t>ii. Jalan Provinsi</t>
  </si>
  <si>
    <t>iii. Jalan Kabupaten</t>
  </si>
  <si>
    <t>iv. Jalan Desa/lingkungan (termasuk jalan usaha tani)</t>
  </si>
  <si>
    <t>Kualitas sebagian besar jalan di Desa</t>
  </si>
  <si>
    <t>ada di IDM, beda pilihan</t>
  </si>
  <si>
    <t>S 560</t>
  </si>
  <si>
    <t>Kondisi Penerangan Jalan Utama Desa</t>
  </si>
  <si>
    <t>Ketersediaan penerangan di jalan-jalan utama di desa</t>
  </si>
  <si>
    <t>ada di IDM (S 400.a)</t>
  </si>
  <si>
    <t>Operasional desa dalam penyediaan penerangan di jalan-jalan utama di desa</t>
  </si>
  <si>
    <t>5.B</t>
  </si>
  <si>
    <t>SUB-DIMENSI KEMUDAHAN AKSES</t>
  </si>
  <si>
    <t>Keberadaan Angkutan Perdesaan/Angkutan Lokal/ Sejenis</t>
  </si>
  <si>
    <t>Apakah terdapat Angkutan Perdesaan/Angkutan Lokal/ Sejenis di Desa (angkot/taksi/ojek/becak/bentor/perahu/kapal/dan sejenisnya)?</t>
  </si>
  <si>
    <t>ada di IDM (E 552)</t>
  </si>
  <si>
    <t>Bagaimana hari operasional Angkutan Perdesaan/Angkutan Lokal/Sejenis  di Desa?</t>
  </si>
  <si>
    <t>Trayek Transportasi Angkutan Perdesaan/Angkutan Lokal/ Sejenis yang ada di desa?</t>
  </si>
  <si>
    <t>i. Angkutan Pedesaan</t>
  </si>
  <si>
    <t>ii. Taksi</t>
  </si>
  <si>
    <t>iii. Ojek Pangkalan</t>
  </si>
  <si>
    <t>iv. Becak</t>
  </si>
  <si>
    <t>v. Bentor</t>
  </si>
  <si>
    <t>vi. Perahu</t>
  </si>
  <si>
    <t>vii. Kapal</t>
  </si>
  <si>
    <t>viii. Transportasi Online roda dua/empat</t>
  </si>
  <si>
    <t>TATA KELOLA PEMERINTAHAN DESA</t>
  </si>
  <si>
    <t>SUB-DIMENSI KELEMBAGAAN DAN PELAYANAN DESA</t>
  </si>
  <si>
    <t>Pelaksanaan Pelayanan dan Administrasi Desa</t>
  </si>
  <si>
    <t>Apakah layanan diberikan setiap hari/hari kerja/kurang dari jumlah hari kerja?</t>
  </si>
  <si>
    <t>Kelengkapan Administrasi Desa</t>
  </si>
  <si>
    <t>Apakah telah dilaksanakan Administrasi Umum Desa?</t>
  </si>
  <si>
    <t>Sudah</t>
  </si>
  <si>
    <t>Bila telah dilaksanakan Administrasi Umum di Desa, jenisnya:</t>
  </si>
  <si>
    <t>i. Buku Peraturan di Desa</t>
  </si>
  <si>
    <t>Diisi</t>
  </si>
  <si>
    <t>i. Buku Keputusan Kepala Desa</t>
  </si>
  <si>
    <t>Tidak diisi</t>
  </si>
  <si>
    <t>ii. Buku Inventaris dan Kekayaan Desa</t>
  </si>
  <si>
    <t>iii. Buku Aparat Pemerintah Desa</t>
  </si>
  <si>
    <t>iv. Buku Tanah Kas Desa</t>
  </si>
  <si>
    <t>v. Buku Agenda</t>
  </si>
  <si>
    <t>vi. Buku Ekspedisi; dan</t>
  </si>
  <si>
    <t>vii. Buku Lembaran Desa dan Buku Berita Desa</t>
  </si>
  <si>
    <t>Apakah telah dilaksanakan Administrasi Kependudukan Desa?</t>
  </si>
  <si>
    <t>Bila telah dilaksanakan Administrasi Kependudukan di Desa, jenisnya:</t>
  </si>
  <si>
    <t>i. Buku Induk Penduduk</t>
  </si>
  <si>
    <t>ii. Buku Mutasi Penduduk Desa</t>
  </si>
  <si>
    <t>iii. Buku Rekapitulasi Jumlah Penduduk</t>
  </si>
  <si>
    <t>iv. Buku Penduduk Sementara; dan</t>
  </si>
  <si>
    <t>v. Buku Kartu Tanda Penduduk dan Buku Kartu Keluarga</t>
  </si>
  <si>
    <t>Apakah telah dilaksanakan Administrasi Keuangan Desa?</t>
  </si>
  <si>
    <t>Bila telah dilaksanakan Administrasi Keuangan Desa, jenisnya:</t>
  </si>
  <si>
    <t>i. Buku APB Desa</t>
  </si>
  <si>
    <t>ii. Buku Rencana Anggaran Biaya</t>
  </si>
  <si>
    <t>iii. Buku Kas Pembantu Kegiatan</t>
  </si>
  <si>
    <t>iv. Buku Kas Umum</t>
  </si>
  <si>
    <t>v. Buku Kas Pembantu</t>
  </si>
  <si>
    <t>vi. Buku Bank Desa</t>
  </si>
  <si>
    <t>Apakah telah dilaksanakan Administrasi Pembangunan Desa?</t>
  </si>
  <si>
    <t>Bila telah dilaksanakan Administrasi Pembangunan Desa, jenisnya:</t>
  </si>
  <si>
    <t>i. Buku Rencana Kerja Pembangunan Desa</t>
  </si>
  <si>
    <t>ii. Buku Kegiatan Pembangunan</t>
  </si>
  <si>
    <t>iii. Buku Inventarisasi Hasil-hasil Pembangunan</t>
  </si>
  <si>
    <t>iv. Buku Kader Pendampingan dan Pemberdayaan Masyarakat</t>
  </si>
  <si>
    <t>Apakah telah dilaksanakan Administrasi Lainnya?</t>
  </si>
  <si>
    <t>Bila telah dilaksanakan Administrasi Lainnya, jenisnya:</t>
  </si>
  <si>
    <t>i. Buku Administrasi Badan Permusyawaratan Desa;</t>
  </si>
  <si>
    <t>ii. Buku Musyawarah Desa;</t>
  </si>
  <si>
    <t>iii. Buku Lembaga Kemasyarakatan Desa/Lembaga Adat</t>
  </si>
  <si>
    <t>Peraturan Kewenangan Desa</t>
  </si>
  <si>
    <t>l</t>
  </si>
  <si>
    <t>Apakah sudah ditetapkan Peraturan Bupati tentang Kewenangan Desa?</t>
  </si>
  <si>
    <t>m</t>
  </si>
  <si>
    <t>Apakah sudah ditetapkan Peraturan Desa tentang Kewenangan Desa?</t>
  </si>
  <si>
    <t>Keberadaan Peta Batas Desa</t>
  </si>
  <si>
    <t>n</t>
  </si>
  <si>
    <t>Apakah terdapat peta batas desa?</t>
  </si>
  <si>
    <t>ada di IDM (111)</t>
  </si>
  <si>
    <t xml:space="preserve">Kelengkapan Pemerintah Desa, Badan Permusyawatan Desa dan Lembaga Kemasyarakatan Desa </t>
  </si>
  <si>
    <t>o</t>
  </si>
  <si>
    <t>Status Jabatan Kepala Desa?</t>
  </si>
  <si>
    <t>ada di IDM (112.b)</t>
  </si>
  <si>
    <t>p</t>
  </si>
  <si>
    <t>Apakah terdapat Sekretaris Desa yang menjabat?</t>
  </si>
  <si>
    <t>ada di IDM (125.a)</t>
  </si>
  <si>
    <t>q</t>
  </si>
  <si>
    <t>Apakah terdapat Kepala Urusan yang menjabat? (Urusan Umum/Urusan Keuangan/Urusan Perencanaan)</t>
  </si>
  <si>
    <t>ada di IDM (129.a/ 130.a/ 131.a)</t>
  </si>
  <si>
    <t>r</t>
  </si>
  <si>
    <t>Apakah terdapat Kepala Seksi yang menjabat? (Seksi Pemerintahan/Seksi Pelayanan/Seksi Kesejahteraan)</t>
  </si>
  <si>
    <t>ada di IDM (126.a/ 127.a/ 128.a)</t>
  </si>
  <si>
    <t>s</t>
  </si>
  <si>
    <t>Apakah terdapat Kepala Kewilayahan yang menjabat?
(Ketua RT/RW/Kepala Dusun/sebutan lainnya)</t>
  </si>
  <si>
    <t>t</t>
  </si>
  <si>
    <t>Apakah Desa sudah memiliki Standar Operasional Prosedur Pelayanan Masyarakat Desa?</t>
  </si>
  <si>
    <t xml:space="preserve">Badan Permusyawaratan Desa (BPD) </t>
  </si>
  <si>
    <t>u</t>
  </si>
  <si>
    <t>Tersedia BPD</t>
  </si>
  <si>
    <t>ada di IDM (132.b)</t>
  </si>
  <si>
    <t>v</t>
  </si>
  <si>
    <t>Jumlah Kegiatan Pemberdayaan BPD dalam 1 tahun</t>
  </si>
  <si>
    <t>Kegiatan</t>
  </si>
  <si>
    <t xml:space="preserve">Lembaga Kemasyarakatan di Desa dan Keberadaan Aktivitas Pemberdayaan Masyarakat </t>
  </si>
  <si>
    <t>w</t>
  </si>
  <si>
    <t>Ketersediaan Lembaga Kemasyarakatan Desa (LKD)</t>
  </si>
  <si>
    <t>i. Terdapat Lembaga Pemberdayaan Masyarakat Desa (LPMD)</t>
  </si>
  <si>
    <t>ada di IDM (132.c)</t>
  </si>
  <si>
    <t>ii. Terdapat Pemberdayaan Kesejahteraan Keluarga (PKK)</t>
  </si>
  <si>
    <t>ada di IDM (S 362.b)</t>
  </si>
  <si>
    <t>iii. Terdapat Karang Taruna</t>
  </si>
  <si>
    <t>ada di IDM (S 362.a)</t>
  </si>
  <si>
    <t>iv. Tersedia Lembaga Kemasyarakatan Desa lainnya</t>
  </si>
  <si>
    <t>v. Jumlah Kegiatan Pemberdayaan LKD dalam 1 tahun</t>
  </si>
  <si>
    <t>x</t>
  </si>
  <si>
    <t>Ketersediaan Lembaga Adat Desa (LAD)</t>
  </si>
  <si>
    <t>ii. Jumlah Kegiatan Lembaga Adat Desa (LAD)  dalam 1 tahun</t>
  </si>
  <si>
    <t>Pemanfaatan Teknologi dalam Pelayanan Desa (SPBE)</t>
  </si>
  <si>
    <t>Apakah sudah dilaksanakan publikasi informasi pelayanan kepada masyarakat desa?</t>
  </si>
  <si>
    <t>Apakah sudah dilaksanakan pelayanan administrasi untuk masyarakat desa?</t>
  </si>
  <si>
    <t>Apakah sudah dilaksanakan pelayanan pengaduan untuk masyarakat desa?</t>
  </si>
  <si>
    <t>d.</t>
  </si>
  <si>
    <t>Apakah sudah dilaksanakan pelayanan lainnya untuk masyarakat desa?</t>
  </si>
  <si>
    <t>Metode publikasi informasi/pelayanan administrasi/pengaduan/pelayanan lainnya untuk masyarakat desa</t>
  </si>
  <si>
    <t>Secara Digital</t>
  </si>
  <si>
    <t>Musyawarah Desa</t>
  </si>
  <si>
    <t>Berapa Kali musyawarah Desa selama setahun terakhir?</t>
  </si>
  <si>
    <t>ada di IDM (S 363.c)</t>
  </si>
  <si>
    <t>S 363.c</t>
  </si>
  <si>
    <t>Jenis Musyawarah Desa yang dilakukan selama setahun terakhir</t>
  </si>
  <si>
    <t>Musyawarah Terencana dan Insidental</t>
  </si>
  <si>
    <t>Jumlah Musyawarah terencana di Desa</t>
  </si>
  <si>
    <t>Jumlah Musyawarah insidental di Desa</t>
  </si>
  <si>
    <t>Inklusivitas Musyawarah Desa</t>
  </si>
  <si>
    <t>Apakah Musyawarah Desa dihadiri oleh unsur masyarakat (tokoh adat/tokoh agama/tokoh masyarakat/tokoh pendidikan/kelompok tani/kelompok nelayan/kelompok perajin/) atau unsur masyarakat lainnya (kelompok perempuan /kelompok penyandang disabilitas/kelompok lanjut usia/kelompok masyarakat miskin)</t>
  </si>
  <si>
    <t>Jika terdapat kelompok yang terlibat dalam Musyawarah Desa, sebutkan kelompok tersebut</t>
  </si>
  <si>
    <t>Kelompok Pemuda, Kelompok Nelayan,Kelompok Pertanian, Kelompok Pengrajin,Kelompok Industri,Kelompok Miskin</t>
  </si>
  <si>
    <t>Tindak Lanjut Musyawarah Desa</t>
  </si>
  <si>
    <t>Apakah terdapat usulan dari musyawarah desa yang diakomodir dalam dokumen perencanaan desa?</t>
  </si>
  <si>
    <t>Apakah terdapat usulan dari musyawarah desa yang di-advokasi-kan kepada tingkat Supra desa?</t>
  </si>
  <si>
    <t xml:space="preserve">Apakah terdapat usulan kelompok perempuan dan/atau kelompok merjinal lainnya (kelompok masyarakat miskin/kelompok penyandang disabilitas/kelompok lanjut usia/lainnya) yang diakomodir? </t>
  </si>
  <si>
    <t>SUB-DIMENSI TATA KELOLA KEUANGAN DESA</t>
  </si>
  <si>
    <t>Pendapatan Asli Desa (PADes) dan Dana Desa</t>
  </si>
  <si>
    <t>Apakah terdapat Pendapatan Asli Desa?</t>
  </si>
  <si>
    <t>Sumber PADes tahun sebelumnya</t>
  </si>
  <si>
    <t>i. hasil usaha</t>
  </si>
  <si>
    <t>ii. hasil aset</t>
  </si>
  <si>
    <t>50.000.000</t>
  </si>
  <si>
    <t>iii. hasil swadaya, partisipasi dan gotong royong</t>
  </si>
  <si>
    <t>iv. PADes lainnya</t>
  </si>
  <si>
    <t>Besaran PADes pada tahun 2023</t>
  </si>
  <si>
    <t>By system</t>
  </si>
  <si>
    <t>Besaran PADes pada 2022</t>
  </si>
  <si>
    <t>12.000.000</t>
  </si>
  <si>
    <t>Peningkatan PADes</t>
  </si>
  <si>
    <t>Apakah dilakukan penyertaan modal dari Dana Desa kepada BUMDesa?</t>
  </si>
  <si>
    <t>Besaran Dana Desa 2023</t>
  </si>
  <si>
    <t>ada di IDM (801.b2)</t>
  </si>
  <si>
    <t>Besaran Dana Desa yang disertakan sebagai modal</t>
  </si>
  <si>
    <t>max ID 47.f</t>
  </si>
  <si>
    <t>Persentase Dana Desa yang disertakan sebagai modal BUMDesa</t>
  </si>
  <si>
    <t>Jumlah Kepemilikan dan Produktivitas Aset Desa</t>
  </si>
  <si>
    <t>Aset yang dimiliki oleh desa</t>
  </si>
  <si>
    <t>i. Desa memiliki Aset berupa Tanah Desa</t>
  </si>
  <si>
    <t>ada di IDM</t>
  </si>
  <si>
    <t>901.a</t>
  </si>
  <si>
    <t>ii. Desa memiliki Aset berupa Kantor Desa</t>
  </si>
  <si>
    <t>901.b</t>
  </si>
  <si>
    <t>iii. Desa memiliki Aset berupa Pasar Desa</t>
  </si>
  <si>
    <t>901.e - 901.h</t>
  </si>
  <si>
    <t>iv. Desa memiliki Aset Lainnya</t>
  </si>
  <si>
    <t>Produktivitas Kepemilikan Aset Desa</t>
  </si>
  <si>
    <t>Apakah telah dilakukan inventarisasi aset desa?</t>
  </si>
  <si>
    <t>Publikasi APBDesa</t>
  </si>
  <si>
    <t>Jangka waktu publikasi APBDes dalam 1 tahun?</t>
  </si>
  <si>
    <t>frekuensi Kali Pertahun</t>
  </si>
  <si>
    <t>Bila sudah dilakukan publikasi APBDes, apa jenis media publikasinya? (Banner/Website/Media Sosial/Lainnya)</t>
  </si>
  <si>
    <t>ada di IDM (902.a, 902.c, 902.c)</t>
  </si>
  <si>
    <t xml:space="preserve">Skor Bidan </t>
  </si>
  <si>
    <t>Jml Penduduk BPJS</t>
  </si>
  <si>
    <t>Skor Tingkat Kepesertaan BPJS</t>
  </si>
  <si>
    <t>Jml Posyandu Aktif</t>
  </si>
  <si>
    <t>Skor Aktivitas Posyandu</t>
  </si>
  <si>
    <t>Skor Akses SD/MI</t>
  </si>
  <si>
    <t>Skor Akses SMP/MTS</t>
  </si>
  <si>
    <t>Skor Akses SMA/SMK</t>
  </si>
  <si>
    <t>Skor Ketersediaan PAUD</t>
  </si>
  <si>
    <t>Skor Ketersediaan PKBM/ Paket ABC</t>
  </si>
  <si>
    <t>Skor Ketersediaan Kursus</t>
  </si>
  <si>
    <t>Skor Ketersediaan Taman Baca/ Perpus Desa</t>
  </si>
  <si>
    <t>Skor Kebiasaan Goryong</t>
  </si>
  <si>
    <t>Skor Frekuensi Goryong</t>
  </si>
  <si>
    <t>Skor Ketersediaan Ruang Publik</t>
  </si>
  <si>
    <t>Skor Kelompok OR</t>
  </si>
  <si>
    <t>Skor Kegiatan OR</t>
  </si>
  <si>
    <t>Value ISLAM</t>
  </si>
  <si>
    <t>Value KRISTEN</t>
  </si>
  <si>
    <t>Value KATOLIK</t>
  </si>
  <si>
    <t>Value BUDDHA</t>
  </si>
  <si>
    <t>Value HINDU</t>
  </si>
  <si>
    <t>Value KONGHUCU</t>
  </si>
  <si>
    <t>Value Agama Lain</t>
  </si>
  <si>
    <t>JML Agama</t>
  </si>
  <si>
    <t>Skor Keragaman Agama</t>
  </si>
  <si>
    <t>Skor Keragaman Bahasa</t>
  </si>
  <si>
    <t>Skor Keragaman Komunikasi</t>
  </si>
  <si>
    <t>Skor Siskamling</t>
  </si>
  <si>
    <t>JML PMKS</t>
  </si>
  <si>
    <t>JML SLB</t>
  </si>
  <si>
    <t>KK Listrik : (KK Listrik + Non Listrik)</t>
  </si>
  <si>
    <t>Skor Internet Kantor Desa</t>
  </si>
  <si>
    <t>TOTAL IKS 2024</t>
  </si>
  <si>
    <t>IKS 2024</t>
  </si>
  <si>
    <t>JML Industri Mikro: KK</t>
  </si>
  <si>
    <t>Skor Keragaman Produksi</t>
  </si>
  <si>
    <t>JML Pasar</t>
  </si>
  <si>
    <t>KK : JML Pasar</t>
  </si>
  <si>
    <t>Skor Toko/ Warung Kelontong</t>
  </si>
  <si>
    <t>Kedai + Penginapan</t>
  </si>
  <si>
    <t>POS + Logistik</t>
  </si>
  <si>
    <t>Skor POS &amp; Logistik</t>
  </si>
  <si>
    <t>BANK + BPR</t>
  </si>
  <si>
    <t>JML Kredit</t>
  </si>
  <si>
    <t>KOPERASI + BUMDES</t>
  </si>
  <si>
    <t>TOTAL IKE 2024</t>
  </si>
  <si>
    <t>IKE 2024</t>
  </si>
  <si>
    <t>Value Cemar Air</t>
  </si>
  <si>
    <t>Value Cemar Tanah</t>
  </si>
  <si>
    <t>Value Cemar Udara</t>
  </si>
  <si>
    <t>Value Limbah</t>
  </si>
  <si>
    <t>Rata-Rata Pencemaran</t>
  </si>
  <si>
    <t xml:space="preserve"> Longsor</t>
  </si>
  <si>
    <t>Jml Bencana</t>
  </si>
  <si>
    <t>Value Peringatan Dini</t>
  </si>
  <si>
    <t>Value Perkap Keselamatan</t>
  </si>
  <si>
    <t>Value Jalur Evakuasi</t>
  </si>
  <si>
    <t>JML Mitigasi</t>
  </si>
  <si>
    <t>JML IKL 2024</t>
  </si>
  <si>
    <t>IKL 2024</t>
  </si>
  <si>
    <t>IDM 2024</t>
  </si>
  <si>
    <t>STATUS IDM 2024</t>
  </si>
  <si>
    <t>SKOR INDEKS DESA 2024</t>
  </si>
  <si>
    <t>1-A</t>
  </si>
  <si>
    <t>Akses terhadap PAUD/TK/Sederajat</t>
  </si>
  <si>
    <t>Akses terhadap SD/MI/Sederajat</t>
  </si>
  <si>
    <t>Akses terhadap SMP/MTs/Sederajat</t>
  </si>
  <si>
    <t>Akses terhadap SMA/SMK/MA/MAK/Sederajat</t>
  </si>
  <si>
    <t>1-B</t>
  </si>
  <si>
    <t>Fasilitas Kesehatan Poskesdes/Polindes</t>
  </si>
  <si>
    <t>1-C</t>
  </si>
  <si>
    <t>SUB-DIMENSI UTILITAS DASAR</t>
  </si>
  <si>
    <t>2-A</t>
  </si>
  <si>
    <t>2-B</t>
  </si>
  <si>
    <t>3-A</t>
  </si>
  <si>
    <t>3-B</t>
  </si>
  <si>
    <t>Layanan Pos dan/ Logistik</t>
  </si>
  <si>
    <t>4-A</t>
  </si>
  <si>
    <t>4-B</t>
  </si>
  <si>
    <t>5-A</t>
  </si>
  <si>
    <t>5-B</t>
  </si>
  <si>
    <t>6-A</t>
  </si>
  <si>
    <t>6-B</t>
  </si>
  <si>
    <t>TOTAL SKOR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</si>
</sst>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Rp-3809]* #,##0_-;\-[$Rp-3809]* #,##0_-;_-[$Rp-3809]* &quot;-&quot;_-;_-@_-"/>
    <numFmt numFmtId="165" formatCode="_-[$Rp-421]* #,##0_-;\-[$Rp-421]* #,##0_-;_-[$Rp-421]* &quot;-&quot;_-;_-@_-"/>
    <numFmt numFmtId="166" formatCode="[$Rp-3809]#,##0"/>
    <numFmt numFmtId="167" formatCode="m/d/yyyy;@"/>
    <numFmt numFmtId="168" formatCode="0.0000"/>
    <numFmt numFmtId="169" formatCode="#,##0.0"/>
    <numFmt numFmtId="170" formatCode="_-[$Rp-3809]* #,##0.00_-;\-[$Rp-3809]* #,##0.00_-;_-[$Rp-3809]* &quot;-&quot;??_-;_-@"/>
    <numFmt numFmtId="171" formatCode="_-[$Rp-3809]* #,##0_-;\-[$Rp-3809]* #,##0_-;_-[$Rp-3809]* &quot;-&quot;??_-;_-@"/>
    <numFmt numFmtId="172" formatCode="0.0"/>
  </numFmts>
  <fonts count="43" x14ac:knownFonts="1">
    <font>
      <sz val="11"/>
      <color rgb="FF000000"/>
      <name val="Calibri"/>
    </font>
    <font>
      <sz val="16"/>
      <color rgb="FF000000"/>
      <name val="Calibri"/>
    </font>
    <font>
      <b/>
      <sz val="11"/>
      <color rgb="FF000000"/>
      <name val="Tahoma"/>
    </font>
    <font>
      <b/>
      <sz val="16"/>
      <color rgb="FF000000"/>
      <name val="Calibri"/>
    </font>
    <font>
      <sz val="8"/>
      <color rgb="FF000000"/>
      <name val="Tahoma"/>
    </font>
    <font>
      <b/>
      <sz val="8"/>
      <color rgb="FF000000"/>
      <name val="Tahoma"/>
    </font>
    <font>
      <b/>
      <sz val="11"/>
      <color rgb="FF000000"/>
      <name val="Calibri"/>
    </font>
    <font>
      <sz val="9"/>
      <color rgb="FF000000"/>
      <name val="Tahoma"/>
    </font>
    <font>
      <b/>
      <i/>
      <sz val="8"/>
      <color rgb="FF000000"/>
      <name val="Tahoma"/>
    </font>
    <font>
      <b/>
      <i/>
      <sz val="11"/>
      <color rgb="FF000000"/>
      <name val="Calibri"/>
    </font>
    <font>
      <i/>
      <sz val="11"/>
      <color rgb="FF000000"/>
      <name val="Calibri"/>
    </font>
    <font>
      <b/>
      <sz val="10"/>
      <color rgb="FF000000"/>
      <name val="Tahoma"/>
    </font>
    <font>
      <b/>
      <sz val="8"/>
      <color rgb="FF000000"/>
      <name val="Calibri"/>
    </font>
    <font>
      <sz val="8"/>
      <color rgb="FF000000"/>
      <name val="Calibri"/>
    </font>
    <font>
      <sz val="10"/>
      <color rgb="FF000000"/>
      <name val="Calibri"/>
    </font>
    <font>
      <sz val="16"/>
      <color rgb="FF000000"/>
      <name val="Tahoma"/>
    </font>
    <font>
      <b/>
      <sz val="16"/>
      <color rgb="FF000000"/>
      <name val="Tahoma"/>
    </font>
    <font>
      <b/>
      <sz val="9"/>
      <color rgb="FF000000"/>
      <name val="Calibri"/>
    </font>
    <font>
      <sz val="9"/>
      <color rgb="FF000000"/>
      <name val="Calibri"/>
    </font>
    <font>
      <b/>
      <sz val="9"/>
      <color rgb="FF000000"/>
      <name val="Tahoma"/>
    </font>
    <font>
      <b/>
      <sz val="11"/>
      <color rgb="FF4F81BD"/>
      <name val="Calibri"/>
      <scheme val="minor"/>
    </font>
    <font>
      <sz val="11"/>
      <color rgb="FF000000"/>
      <name val="Calibri"/>
      <scheme val="minor"/>
    </font>
    <font>
      <sz val="11"/>
      <color rgb="FF4F81BD"/>
      <name val="Calibri"/>
      <scheme val="minor"/>
    </font>
    <font>
      <sz val="11"/>
      <color rgb="FF4F81BD"/>
      <name val="Calibri"/>
    </font>
    <font>
      <b/>
      <sz val="11"/>
      <color rgb="FFFF0000"/>
      <name val="Calibri"/>
    </font>
    <font>
      <sz val="11"/>
      <color rgb="FFFF0000"/>
      <name val="Calibri"/>
    </font>
    <font>
      <sz val="11"/>
      <color rgb="FF4472C4"/>
      <name val="Calibri"/>
    </font>
    <font>
      <sz val="11"/>
      <color rgb="FF0070C0"/>
      <name val="Calibri"/>
    </font>
    <font>
      <sz val="11"/>
      <color rgb="FF4BACC6"/>
      <name val="Calibri"/>
    </font>
    <font>
      <b/>
      <sz val="12"/>
      <color rgb="FF000000"/>
      <name val="Calibri"/>
      <scheme val="minor"/>
    </font>
    <font>
      <sz val="11"/>
      <color rgb="FF000000"/>
      <name val="Aptos narrow"/>
    </font>
    <font>
      <b/>
      <sz val="11"/>
      <color rgb="FF000000"/>
      <name val="Calibri"/>
      <scheme val="minor"/>
    </font>
    <font>
      <b/>
      <sz val="11"/>
      <color rgb="FFFFFFFF"/>
      <name val="Calibri"/>
    </font>
    <font>
      <sz val="11"/>
      <color rgb="FFFFFFFF"/>
      <name val="Calibri"/>
    </font>
    <font>
      <b/>
      <strike/>
      <sz val="11"/>
      <color rgb="FFFF0000"/>
      <name val="Calibri"/>
    </font>
    <font>
      <strike/>
      <sz val="11"/>
      <color rgb="FFFF0000"/>
      <name val="Calibri"/>
      <scheme val="minor"/>
    </font>
    <font>
      <u/>
      <sz val="11"/>
      <color rgb="FF0000FF"/>
      <name val="Calibri"/>
    </font>
    <font>
      <b/>
      <i/>
      <sz val="9"/>
      <color rgb="FF000000"/>
      <name val="Tahoma"/>
    </font>
    <font>
      <b/>
      <sz val="18"/>
      <color rgb="FF000000"/>
      <name val="Calibri"/>
    </font>
    <font>
      <b/>
      <u/>
      <sz val="9"/>
      <color rgb="FF000000"/>
      <name val="Tahoma"/>
    </font>
    <font>
      <i/>
      <sz val="8"/>
      <color rgb="FF000000"/>
      <name val="Tahoma"/>
    </font>
    <font>
      <vertAlign val="superscript"/>
      <sz val="8"/>
      <color rgb="FF000000"/>
      <name val="Tahoma"/>
    </font>
    <font>
      <strike/>
      <sz val="11"/>
      <color rgb="FFFF0000"/>
      <name val="Calibri"/>
    </font>
  </fonts>
  <fills count="58">
    <fill>
      <patternFill patternType="none"/>
    </fill>
    <fill>
      <patternFill patternType="gray125"/>
    </fill>
    <fill>
      <patternFill patternType="solid">
        <fgColor rgb="FFECECEC"/>
        <bgColor rgb="FFFFFFFF"/>
      </patternFill>
    </fill>
    <fill>
      <patternFill patternType="solid">
        <fgColor rgb="FFFFF2CB"/>
        <bgColor rgb="FFFFFFFF"/>
      </patternFill>
    </fill>
    <fill>
      <patternFill patternType="solid">
        <fgColor rgb="FFE2EEDA"/>
        <bgColor rgb="FFFFFFFF"/>
      </patternFill>
    </fill>
    <fill>
      <patternFill patternType="solid">
        <fgColor rgb="FFF7CAAC"/>
        <bgColor rgb="FFFFFFFF"/>
      </patternFill>
    </fill>
    <fill>
      <patternFill patternType="solid">
        <fgColor rgb="FFBDD6EE"/>
        <bgColor rgb="FFFFFFFF"/>
      </patternFill>
    </fill>
    <fill>
      <patternFill patternType="solid">
        <fgColor rgb="FFFBE4D5"/>
        <bgColor rgb="FFFFFFFF"/>
      </patternFill>
    </fill>
    <fill>
      <patternFill patternType="solid">
        <fgColor rgb="FFD8D8D8"/>
        <bgColor rgb="FFFFFFFF"/>
      </patternFill>
    </fill>
    <fill>
      <patternFill patternType="solid">
        <fgColor rgb="FFEAF1DD"/>
        <bgColor rgb="FFFFFFFF"/>
      </patternFill>
    </fill>
    <fill>
      <patternFill patternType="solid">
        <fgColor rgb="FFFFFF00"/>
        <bgColor rgb="FFFFFFFF"/>
      </patternFill>
    </fill>
    <fill>
      <patternFill patternType="solid">
        <fgColor rgb="FFFFFFFF"/>
        <bgColor rgb="FFFFFFFF"/>
      </patternFill>
    </fill>
    <fill>
      <patternFill patternType="solid">
        <fgColor rgb="FFB8CCE4"/>
        <bgColor rgb="FFFFFFFF"/>
      </patternFill>
    </fill>
    <fill>
      <patternFill patternType="solid">
        <fgColor rgb="FFE5DFEC"/>
        <bgColor rgb="FFFFFFFF"/>
      </patternFill>
    </fill>
    <fill>
      <patternFill patternType="solid">
        <fgColor rgb="FFFBD4B4"/>
        <bgColor rgb="FFFFFFFF"/>
      </patternFill>
    </fill>
    <fill>
      <patternFill patternType="solid">
        <fgColor rgb="FFDBEFF4"/>
        <bgColor rgb="FFFFFFFF"/>
      </patternFill>
    </fill>
    <fill>
      <patternFill patternType="solid">
        <fgColor rgb="FFE2EFD9"/>
        <bgColor rgb="FFE2EFD9"/>
      </patternFill>
    </fill>
    <fill>
      <patternFill patternType="solid">
        <fgColor rgb="FFEEECE1"/>
        <bgColor rgb="FFFFFFFF"/>
      </patternFill>
    </fill>
    <fill>
      <patternFill patternType="solid">
        <fgColor rgb="FFB8CCE4"/>
        <bgColor rgb="FFE2EFD9"/>
      </patternFill>
    </fill>
    <fill>
      <patternFill patternType="solid">
        <fgColor rgb="FFB8CCE4"/>
        <bgColor rgb="FFE2EFDA"/>
      </patternFill>
    </fill>
    <fill>
      <patternFill patternType="solid">
        <fgColor rgb="FFB8CCE4"/>
        <bgColor rgb="FFFEF2CB"/>
      </patternFill>
    </fill>
    <fill>
      <patternFill patternType="solid">
        <fgColor rgb="FFFDEADA"/>
        <bgColor rgb="FFFFFFFF"/>
      </patternFill>
    </fill>
    <fill>
      <patternFill patternType="solid">
        <fgColor rgb="FFFDEADA"/>
        <bgColor rgb="FFFEF2CB"/>
      </patternFill>
    </fill>
    <fill>
      <patternFill patternType="solid">
        <fgColor rgb="FFFDEADA"/>
        <bgColor rgb="FFE2EFD9"/>
      </patternFill>
    </fill>
    <fill>
      <patternFill patternType="solid">
        <fgColor rgb="FFFDEADA"/>
        <bgColor rgb="FFE2EFDA"/>
      </patternFill>
    </fill>
    <fill>
      <patternFill patternType="solid">
        <fgColor rgb="FFB8CCE4"/>
        <bgColor rgb="FFC5E0B3"/>
      </patternFill>
    </fill>
    <fill>
      <patternFill patternType="solid">
        <fgColor rgb="FFB8CCE4"/>
        <bgColor rgb="FFEADCF4"/>
      </patternFill>
    </fill>
    <fill>
      <patternFill patternType="solid">
        <fgColor rgb="FFFFFFCC"/>
        <bgColor rgb="FFFFFFFF"/>
      </patternFill>
    </fill>
    <fill>
      <patternFill patternType="solid">
        <fgColor rgb="FFFFFFCC"/>
        <bgColor rgb="FFFEF2CB"/>
      </patternFill>
    </fill>
    <fill>
      <patternFill patternType="solid">
        <fgColor rgb="FFFDEADA"/>
        <bgColor rgb="FFFBE4D5"/>
      </patternFill>
    </fill>
    <fill>
      <patternFill patternType="solid">
        <fgColor rgb="FF98D981"/>
        <bgColor rgb="FFFFFFFF"/>
      </patternFill>
    </fill>
    <fill>
      <patternFill patternType="solid">
        <fgColor rgb="FF98D981"/>
        <bgColor rgb="FFC5E0B3"/>
      </patternFill>
    </fill>
    <fill>
      <patternFill patternType="solid">
        <fgColor rgb="FFE6E0ED"/>
        <bgColor rgb="FFEADCF4"/>
      </patternFill>
    </fill>
    <fill>
      <patternFill patternType="solid">
        <fgColor rgb="FFDBEFF4"/>
        <bgColor rgb="FFDEEAF6"/>
      </patternFill>
    </fill>
    <fill>
      <patternFill patternType="solid">
        <fgColor rgb="FFDBEFF4"/>
        <bgColor rgb="FFDDEBF7"/>
      </patternFill>
    </fill>
    <fill>
      <patternFill patternType="solid">
        <fgColor rgb="FFEADCF4"/>
        <bgColor rgb="FFEADCF4"/>
      </patternFill>
    </fill>
    <fill>
      <patternFill patternType="solid">
        <fgColor rgb="FFC5E0B3"/>
        <bgColor rgb="FFC5E0B3"/>
      </patternFill>
    </fill>
    <fill>
      <patternFill patternType="solid">
        <fgColor rgb="FFD7E4BD"/>
        <bgColor rgb="FFC5E0B3"/>
      </patternFill>
    </fill>
    <fill>
      <patternFill patternType="solid">
        <fgColor rgb="FFD7E4BD"/>
        <bgColor rgb="FFE2EFD9"/>
      </patternFill>
    </fill>
    <fill>
      <patternFill patternType="solid">
        <fgColor rgb="FFFBE4D5"/>
        <bgColor rgb="FFFBE4D5"/>
      </patternFill>
    </fill>
    <fill>
      <patternFill patternType="solid">
        <fgColor rgb="FFB8CCE4"/>
        <bgColor rgb="FFFBE4D5"/>
      </patternFill>
    </fill>
    <fill>
      <patternFill patternType="solid">
        <fgColor rgb="FFFEF2CB"/>
        <bgColor rgb="FFFEF2CB"/>
      </patternFill>
    </fill>
    <fill>
      <patternFill patternType="solid">
        <fgColor rgb="FFE2EFDA"/>
        <bgColor rgb="FFE2EFDA"/>
      </patternFill>
    </fill>
    <fill>
      <patternFill patternType="solid">
        <fgColor rgb="FFDEEAF6"/>
        <bgColor rgb="FFDEEAF6"/>
      </patternFill>
    </fill>
    <fill>
      <patternFill patternType="solid">
        <fgColor rgb="FFDDEBF7"/>
        <bgColor rgb="FFDDEBF7"/>
      </patternFill>
    </fill>
    <fill>
      <patternFill patternType="solid">
        <fgColor rgb="FFB8CCE4"/>
        <bgColor rgb="FFDEEAF6"/>
      </patternFill>
    </fill>
    <fill>
      <patternFill patternType="solid">
        <fgColor rgb="FFFFFFFF"/>
        <bgColor rgb="FFFEF2CB"/>
      </patternFill>
    </fill>
    <fill>
      <patternFill patternType="solid">
        <fgColor rgb="FFEBF1DE"/>
        <bgColor rgb="FFFFFFFF"/>
      </patternFill>
    </fill>
    <fill>
      <patternFill patternType="solid">
        <fgColor rgb="FFE6E0ED"/>
        <bgColor rgb="FFFFFFFF"/>
      </patternFill>
    </fill>
    <fill>
      <patternFill patternType="solid">
        <fgColor rgb="FFD9D9D9"/>
        <bgColor rgb="FFFFFFFF"/>
      </patternFill>
    </fill>
    <fill>
      <patternFill patternType="solid">
        <fgColor rgb="FF98D981"/>
        <bgColor rgb="FFE2EFD9"/>
      </patternFill>
    </fill>
    <fill>
      <patternFill patternType="solid">
        <fgColor rgb="FFB8CCE4"/>
        <bgColor rgb="FFDDEBF7"/>
      </patternFill>
    </fill>
    <fill>
      <patternFill patternType="solid">
        <fgColor rgb="FFDBE5F2"/>
        <bgColor rgb="FFDEEAF6"/>
      </patternFill>
    </fill>
    <fill>
      <patternFill patternType="solid">
        <fgColor rgb="FFDBE5F2"/>
        <bgColor rgb="FFDDEBF7"/>
      </patternFill>
    </fill>
    <fill>
      <patternFill patternType="solid">
        <fgColor rgb="FFFF0000"/>
        <bgColor rgb="FFFFFFFF"/>
      </patternFill>
    </fill>
    <fill>
      <patternFill patternType="solid">
        <fgColor rgb="FF9BBB59"/>
        <bgColor rgb="FFFFFFFF"/>
      </patternFill>
    </fill>
    <fill>
      <patternFill patternType="solid">
        <fgColor rgb="FFE7E6E6"/>
        <bgColor rgb="FFFFFFFF"/>
      </patternFill>
    </fill>
    <fill>
      <patternFill patternType="solid">
        <fgColor rgb="FF93CEDD"/>
        <bgColor rgb="FFFFFFFF"/>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590">
    <xf numFmtId="0" fontId="0" fillId="0" borderId="0" xfId="0"/>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3" fontId="1" fillId="0" borderId="0" xfId="0" applyNumberFormat="1"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lignment vertical="center"/>
    </xf>
    <xf numFmtId="164" fontId="1" fillId="0" borderId="0" xfId="0" applyNumberFormat="1" applyFont="1" applyAlignment="1" applyProtection="1">
      <alignment horizontal="center" vertical="center"/>
      <protection locked="0"/>
    </xf>
    <xf numFmtId="0" fontId="0" fillId="0" borderId="0" xfId="0" applyAlignment="1">
      <alignment vertical="center" wrapText="1"/>
    </xf>
    <xf numFmtId="2" fontId="1" fillId="0" borderId="0" xfId="0" applyNumberFormat="1" applyFont="1" applyAlignment="1" applyProtection="1">
      <alignment horizontal="center" vertical="center"/>
      <protection locked="0"/>
    </xf>
    <xf numFmtId="165" fontId="1" fillId="0" borderId="0" xfId="0" applyNumberFormat="1" applyFont="1" applyAlignment="1" applyProtection="1">
      <alignment horizontal="center" vertical="center"/>
      <protection locked="0"/>
    </xf>
    <xf numFmtId="0" fontId="2" fillId="0" borderId="0" xfId="0" applyFont="1" applyAlignment="1" applyProtection="1">
      <alignment horizontal="center"/>
      <protection locked="0"/>
    </xf>
    <xf numFmtId="0" fontId="3" fillId="0" borderId="0" xfId="0" applyFont="1" applyAlignment="1">
      <alignment horizontal="center" vertical="center"/>
    </xf>
    <xf numFmtId="0" fontId="4" fillId="2" borderId="1" xfId="0" applyFont="1" applyFill="1" applyBorder="1" applyAlignment="1">
      <alignment horizontal="left" vertical="center" wrapText="1"/>
    </xf>
    <xf numFmtId="0" fontId="4" fillId="0" borderId="0" xfId="0" applyFont="1" applyAlignment="1">
      <alignment horizontal="center"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4" borderId="1" xfId="0" applyFont="1" applyFill="1" applyBorder="1" applyAlignment="1">
      <alignment horizontal="left" vertical="center" wrapText="1"/>
    </xf>
    <xf numFmtId="3"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0" fontId="4" fillId="4" borderId="4" xfId="0" applyFont="1" applyFill="1" applyBorder="1" applyAlignment="1">
      <alignment horizontal="left" vertical="center" wrapText="1"/>
    </xf>
    <xf numFmtId="0" fontId="4" fillId="4" borderId="1" xfId="0" applyFont="1" applyFill="1" applyBorder="1" applyAlignment="1">
      <alignment vertical="center" wrapText="1"/>
    </xf>
    <xf numFmtId="1"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4" fillId="5" borderId="1"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4" fillId="7" borderId="5" xfId="0" applyFont="1" applyFill="1" applyBorder="1" applyAlignment="1">
      <alignment vertical="center" wrapText="1"/>
    </xf>
    <xf numFmtId="165" fontId="4" fillId="0" borderId="0" xfId="0" applyNumberFormat="1" applyFont="1" applyAlignment="1">
      <alignment horizontal="center" vertical="center" wrapText="1"/>
    </xf>
    <xf numFmtId="0" fontId="4" fillId="4" borderId="6"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0" fillId="0" borderId="0" xfId="0" applyAlignment="1">
      <alignment horizontal="center"/>
    </xf>
    <xf numFmtId="0" fontId="5" fillId="3" borderId="4" xfId="0" applyFont="1" applyFill="1" applyBorder="1" applyAlignment="1">
      <alignment vertical="center" wrapText="1"/>
    </xf>
    <xf numFmtId="0" fontId="5" fillId="3" borderId="7" xfId="0" applyFont="1" applyFill="1" applyBorder="1" applyAlignment="1">
      <alignment vertical="center" wrapText="1"/>
    </xf>
    <xf numFmtId="0" fontId="5" fillId="3" borderId="5" xfId="0" applyFont="1" applyFill="1" applyBorder="1" applyAlignment="1">
      <alignmen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4" borderId="5"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3" fillId="8" borderId="1" xfId="0" applyFont="1" applyFill="1" applyBorder="1" applyAlignment="1">
      <alignment horizontal="center" vertical="center"/>
    </xf>
    <xf numFmtId="0" fontId="2" fillId="8" borderId="1"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9" xfId="0" applyFont="1" applyFill="1" applyBorder="1" applyAlignment="1">
      <alignment horizontal="left" vertical="center" wrapText="1"/>
    </xf>
    <xf numFmtId="166" fontId="1" fillId="0" borderId="0" xfId="0" applyNumberFormat="1" applyFont="1" applyAlignment="1" applyProtection="1">
      <alignment horizontal="center" vertical="center"/>
      <protection locked="0"/>
    </xf>
    <xf numFmtId="4" fontId="1" fillId="0" borderId="0" xfId="0" applyNumberFormat="1" applyFont="1" applyAlignment="1" applyProtection="1">
      <alignment horizontal="center" vertical="center"/>
      <protection locked="0"/>
    </xf>
    <xf numFmtId="14" fontId="4"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0" fontId="5" fillId="4" borderId="5"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0" fillId="0" borderId="0" xfId="0" applyAlignment="1">
      <alignment horizontal="left" vertical="center"/>
    </xf>
    <xf numFmtId="0" fontId="2" fillId="0" borderId="10" xfId="0"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4" fillId="5" borderId="5"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6" fillId="0" borderId="0" xfId="0" applyFont="1" applyAlignment="1">
      <alignment vertical="center"/>
    </xf>
    <xf numFmtId="0" fontId="7" fillId="0" borderId="0" xfId="0" applyFont="1"/>
    <xf numFmtId="0" fontId="7" fillId="0" borderId="0" xfId="0" applyFont="1" applyAlignment="1">
      <alignment horizontal="right"/>
    </xf>
    <xf numFmtId="0" fontId="7" fillId="0" borderId="1" xfId="0" applyFont="1" applyBorder="1" applyAlignment="1">
      <alignment horizontal="center" vertical="center"/>
    </xf>
    <xf numFmtId="0" fontId="7" fillId="0" borderId="11" xfId="0" applyFont="1" applyBorder="1"/>
    <xf numFmtId="0" fontId="7" fillId="0" borderId="12" xfId="0" applyFont="1" applyBorder="1"/>
    <xf numFmtId="0" fontId="7" fillId="0" borderId="8" xfId="0" applyFont="1" applyBorder="1"/>
    <xf numFmtId="0" fontId="7" fillId="0" borderId="10" xfId="0" applyFont="1" applyBorder="1"/>
    <xf numFmtId="0" fontId="7" fillId="0" borderId="9" xfId="0" applyFont="1" applyBorder="1"/>
    <xf numFmtId="0" fontId="7" fillId="0" borderId="8"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4" fillId="9" borderId="1" xfId="0" applyFont="1" applyFill="1" applyBorder="1" applyAlignment="1">
      <alignment horizontal="left" vertical="center" wrapText="1"/>
    </xf>
    <xf numFmtId="0" fontId="2" fillId="9" borderId="5" xfId="0" applyFont="1" applyFill="1" applyBorder="1" applyAlignment="1">
      <alignment horizontal="center" vertical="center" wrapText="1"/>
    </xf>
    <xf numFmtId="0" fontId="5" fillId="9" borderId="7" xfId="0" applyFont="1" applyFill="1" applyBorder="1" applyAlignment="1">
      <alignment horizontal="left" vertical="center" wrapText="1"/>
    </xf>
    <xf numFmtId="0" fontId="4" fillId="9" borderId="1" xfId="0" applyFont="1" applyFill="1" applyBorder="1" applyAlignment="1">
      <alignment vertical="center" wrapText="1"/>
    </xf>
    <xf numFmtId="0" fontId="5" fillId="9" borderId="1" xfId="0" applyFont="1" applyFill="1" applyBorder="1" applyAlignment="1">
      <alignment horizontal="lef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8" fillId="3" borderId="1" xfId="0" applyFont="1" applyFill="1" applyBorder="1" applyAlignment="1">
      <alignment horizontal="left" vertical="center" wrapText="1"/>
    </xf>
    <xf numFmtId="0" fontId="9" fillId="0" borderId="0" xfId="0" applyFont="1"/>
    <xf numFmtId="0" fontId="8" fillId="5" borderId="1" xfId="0" applyFont="1" applyFill="1" applyBorder="1" applyAlignment="1">
      <alignment horizontal="left" vertical="center" wrapText="1"/>
    </xf>
    <xf numFmtId="0" fontId="4" fillId="5" borderId="7" xfId="0" applyFont="1" applyFill="1" applyBorder="1" applyAlignment="1">
      <alignment horizontal="left" vertical="center" wrapText="1"/>
    </xf>
    <xf numFmtId="167" fontId="1" fillId="0" borderId="0" xfId="0" applyNumberFormat="1" applyFont="1" applyAlignment="1" applyProtection="1">
      <alignment horizontal="center" vertical="center"/>
      <protection locked="0"/>
    </xf>
    <xf numFmtId="1" fontId="1" fillId="0" borderId="0" xfId="0" applyNumberFormat="1" applyFont="1" applyAlignment="1" applyProtection="1">
      <alignment horizontal="center" vertical="center"/>
      <protection locked="0"/>
    </xf>
    <xf numFmtId="49" fontId="4" fillId="0" borderId="0" xfId="0" applyNumberFormat="1" applyFont="1" applyAlignment="1">
      <alignment horizontal="center" vertical="center" wrapText="1"/>
    </xf>
    <xf numFmtId="0" fontId="2" fillId="8" borderId="1" xfId="0" applyFont="1" applyFill="1" applyBorder="1" applyAlignment="1">
      <alignment horizontal="center" vertical="center" wrapText="1"/>
    </xf>
    <xf numFmtId="0" fontId="10" fillId="0" borderId="0" xfId="0" applyFont="1"/>
    <xf numFmtId="0" fontId="5" fillId="3" borderId="2" xfId="0" applyFont="1" applyFill="1" applyBorder="1" applyAlignment="1">
      <alignment horizontal="left" vertical="center" wrapText="1"/>
    </xf>
    <xf numFmtId="3" fontId="0" fillId="0" borderId="0" xfId="0" applyNumberFormat="1" applyAlignment="1">
      <alignment horizontal="center" vertical="center"/>
    </xf>
    <xf numFmtId="3" fontId="2" fillId="0" borderId="10" xfId="0" applyNumberFormat="1" applyFont="1" applyBorder="1" applyAlignment="1" applyProtection="1">
      <alignment horizontal="center" vertical="center"/>
      <protection locked="0"/>
    </xf>
    <xf numFmtId="3" fontId="4" fillId="10" borderId="1" xfId="0" applyNumberFormat="1" applyFont="1" applyFill="1" applyBorder="1" applyAlignment="1">
      <alignment horizontal="center" vertical="center" wrapText="1"/>
    </xf>
    <xf numFmtId="3" fontId="0" fillId="0" borderId="0" xfId="0" applyNumberFormat="1" applyAlignment="1" applyProtection="1">
      <alignment horizontal="center" vertical="center"/>
      <protection locked="0"/>
    </xf>
    <xf numFmtId="0" fontId="5" fillId="5" borderId="13" xfId="0" applyFont="1" applyFill="1" applyBorder="1" applyAlignment="1">
      <alignment horizontal="left" vertical="center" wrapText="1"/>
    </xf>
    <xf numFmtId="0" fontId="5" fillId="4" borderId="0" xfId="0" applyFont="1" applyFill="1" applyAlignment="1">
      <alignment horizontal="left" vertical="center" wrapText="1"/>
    </xf>
    <xf numFmtId="0" fontId="4" fillId="4" borderId="12" xfId="0" applyFont="1" applyFill="1" applyBorder="1" applyAlignment="1">
      <alignment horizontal="left" vertical="center" wrapText="1"/>
    </xf>
    <xf numFmtId="3" fontId="4" fillId="10"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4" fillId="3" borderId="1" xfId="0" applyNumberFormat="1" applyFont="1" applyFill="1" applyBorder="1" applyAlignment="1" applyProtection="1">
      <alignment horizontal="center" vertical="center" wrapText="1"/>
      <protection locked="0"/>
    </xf>
    <xf numFmtId="3" fontId="5" fillId="4" borderId="1" xfId="0" applyNumberFormat="1" applyFont="1" applyFill="1" applyBorder="1" applyAlignment="1">
      <alignment horizontal="center" vertical="center" wrapText="1"/>
    </xf>
    <xf numFmtId="3" fontId="5" fillId="4" borderId="4"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5" fillId="5" borderId="4" xfId="0" applyNumberFormat="1" applyFont="1" applyFill="1" applyBorder="1" applyAlignment="1">
      <alignment horizontal="center" vertical="center" wrapText="1"/>
    </xf>
    <xf numFmtId="3" fontId="5" fillId="6" borderId="1" xfId="0" applyNumberFormat="1" applyFont="1" applyFill="1" applyBorder="1" applyAlignment="1">
      <alignment horizontal="center" vertical="center" wrapText="1"/>
    </xf>
    <xf numFmtId="3" fontId="4" fillId="6" borderId="1" xfId="0" applyNumberFormat="1" applyFont="1" applyFill="1" applyBorder="1" applyAlignment="1" applyProtection="1">
      <alignment horizontal="center" vertical="center" wrapText="1"/>
      <protection locked="0"/>
    </xf>
    <xf numFmtId="3" fontId="4" fillId="4" borderId="4" xfId="0" applyNumberFormat="1" applyFont="1" applyFill="1" applyBorder="1" applyAlignment="1" applyProtection="1">
      <alignment horizontal="center" vertical="center" wrapText="1"/>
      <protection locked="0"/>
    </xf>
    <xf numFmtId="3" fontId="4" fillId="9" borderId="11" xfId="0" applyNumberFormat="1" applyFont="1" applyFill="1" applyBorder="1" applyAlignment="1" applyProtection="1">
      <alignment horizontal="center" vertical="center" wrapText="1"/>
      <protection locked="0"/>
    </xf>
    <xf numFmtId="3" fontId="4" fillId="9" borderId="8" xfId="0" applyNumberFormat="1" applyFont="1" applyFill="1" applyBorder="1" applyAlignment="1" applyProtection="1">
      <alignment horizontal="center" vertical="center" wrapText="1"/>
      <protection locked="0"/>
    </xf>
    <xf numFmtId="3" fontId="4" fillId="7" borderId="1" xfId="0" applyNumberFormat="1" applyFont="1" applyFill="1" applyBorder="1" applyAlignment="1" applyProtection="1">
      <alignment horizontal="center" vertical="center" wrapText="1"/>
      <protection locked="0"/>
    </xf>
    <xf numFmtId="3" fontId="11" fillId="7" borderId="4" xfId="0" applyNumberFormat="1" applyFont="1" applyFill="1" applyBorder="1" applyAlignment="1">
      <alignment horizontal="center" vertical="center" wrapText="1"/>
    </xf>
    <xf numFmtId="3" fontId="12" fillId="0" borderId="1" xfId="0" applyNumberFormat="1" applyFont="1" applyBorder="1" applyAlignment="1" applyProtection="1">
      <alignment horizontal="center" vertical="center" wrapText="1"/>
      <protection locked="0"/>
    </xf>
    <xf numFmtId="3" fontId="5" fillId="3" borderId="2" xfId="0" applyNumberFormat="1" applyFont="1" applyFill="1" applyBorder="1" applyAlignment="1">
      <alignment horizontal="center" vertical="center" wrapText="1"/>
    </xf>
    <xf numFmtId="0" fontId="6" fillId="0" borderId="0" xfId="0" applyFont="1"/>
    <xf numFmtId="0" fontId="1" fillId="0" borderId="0" xfId="0" applyFont="1" applyAlignment="1" applyProtection="1">
      <alignment horizontal="center"/>
      <protection locked="0"/>
    </xf>
    <xf numFmtId="3" fontId="4" fillId="0" borderId="1" xfId="0" applyNumberFormat="1" applyFont="1" applyBorder="1" applyAlignment="1">
      <alignment horizontal="center" vertical="center" wrapText="1"/>
    </xf>
    <xf numFmtId="0" fontId="5" fillId="0" borderId="0" xfId="0" applyFont="1" applyAlignment="1">
      <alignment horizontal="center" vertical="center" wrapText="1"/>
    </xf>
    <xf numFmtId="3" fontId="4" fillId="0" borderId="1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3" fillId="0" borderId="0" xfId="0" applyNumberFormat="1" applyFont="1" applyAlignment="1">
      <alignment horizontal="center" vertical="center"/>
    </xf>
    <xf numFmtId="3" fontId="4" fillId="11" borderId="0" xfId="0" applyNumberFormat="1" applyFont="1" applyFill="1" applyAlignment="1">
      <alignment horizontal="center" vertical="center" wrapText="1"/>
    </xf>
    <xf numFmtId="3" fontId="1" fillId="0" borderId="0" xfId="0" applyNumberFormat="1" applyFont="1" applyAlignment="1">
      <alignment horizontal="center" vertical="center"/>
    </xf>
    <xf numFmtId="3" fontId="0" fillId="0" borderId="0" xfId="0" applyNumberFormat="1" applyAlignment="1">
      <alignment horizontal="left" vertical="center"/>
    </xf>
    <xf numFmtId="4" fontId="1" fillId="0" borderId="0" xfId="0" applyNumberFormat="1" applyFont="1" applyAlignment="1">
      <alignment horizontal="center" vertical="center"/>
    </xf>
    <xf numFmtId="3" fontId="4" fillId="11" borderId="1" xfId="0" applyNumberFormat="1" applyFont="1" applyFill="1" applyBorder="1" applyAlignment="1">
      <alignment horizontal="center" vertical="center" wrapText="1"/>
    </xf>
    <xf numFmtId="164" fontId="1" fillId="0" borderId="0" xfId="0" applyNumberFormat="1" applyFont="1" applyAlignment="1">
      <alignment horizontal="center" vertical="center"/>
    </xf>
    <xf numFmtId="165" fontId="1" fillId="0" borderId="0" xfId="0" applyNumberFormat="1" applyFont="1" applyAlignment="1">
      <alignment horizontal="center" vertical="center"/>
    </xf>
    <xf numFmtId="0" fontId="12" fillId="12" borderId="1" xfId="0" applyFont="1" applyFill="1" applyBorder="1" applyAlignment="1">
      <alignment horizontal="left" vertical="center" wrapText="1"/>
    </xf>
    <xf numFmtId="0" fontId="12" fillId="0" borderId="4" xfId="0" applyFont="1" applyBorder="1" applyAlignment="1">
      <alignment horizontal="left" vertical="center" wrapText="1"/>
    </xf>
    <xf numFmtId="0" fontId="13" fillId="0" borderId="0" xfId="0" applyFont="1" applyAlignment="1">
      <alignment horizontal="center"/>
    </xf>
    <xf numFmtId="0" fontId="13" fillId="0" borderId="1" xfId="0" applyFont="1" applyBorder="1" applyAlignment="1">
      <alignment horizontal="left" vertical="center" wrapText="1"/>
    </xf>
    <xf numFmtId="168" fontId="1" fillId="0" borderId="0" xfId="0" applyNumberFormat="1" applyFont="1" applyAlignment="1">
      <alignment horizontal="center" vertical="center"/>
    </xf>
    <xf numFmtId="0" fontId="14" fillId="0" borderId="0" xfId="0" applyFont="1" applyAlignment="1">
      <alignment horizontal="center"/>
    </xf>
    <xf numFmtId="0" fontId="12" fillId="0" borderId="7" xfId="0" applyFont="1" applyBorder="1" applyAlignment="1">
      <alignment horizontal="left" vertical="center" wrapText="1"/>
    </xf>
    <xf numFmtId="0" fontId="6" fillId="12" borderId="4"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0" borderId="0" xfId="0" applyFont="1" applyAlignment="1">
      <alignment horizontal="center" vertical="center" wrapText="1"/>
    </xf>
    <xf numFmtId="168" fontId="4" fillId="0" borderId="0" xfId="0" applyNumberFormat="1" applyFont="1" applyAlignment="1">
      <alignment horizontal="center" vertical="center" wrapText="1"/>
    </xf>
    <xf numFmtId="0" fontId="12" fillId="13" borderId="1" xfId="0" applyFont="1" applyFill="1" applyBorder="1" applyAlignment="1">
      <alignment horizontal="left" vertical="center" wrapText="1"/>
    </xf>
    <xf numFmtId="0" fontId="6" fillId="13" borderId="4"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12" fillId="14" borderId="1" xfId="0" applyFont="1" applyFill="1" applyBorder="1" applyAlignment="1">
      <alignment horizontal="left" vertical="center" wrapText="1"/>
    </xf>
    <xf numFmtId="0" fontId="6" fillId="14" borderId="4"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3" fontId="12" fillId="0" borderId="5" xfId="0" applyNumberFormat="1" applyFont="1" applyBorder="1" applyAlignment="1">
      <alignment horizontal="center" vertical="center" wrapText="1"/>
    </xf>
    <xf numFmtId="0" fontId="12" fillId="0" borderId="0" xfId="0" applyFont="1" applyAlignment="1">
      <alignment horizontal="center" vertical="center" wrapText="1"/>
    </xf>
    <xf numFmtId="0" fontId="6" fillId="10" borderId="4"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wrapText="1"/>
    </xf>
    <xf numFmtId="49" fontId="6" fillId="0" borderId="0" xfId="0" applyNumberFormat="1" applyFont="1" applyAlignment="1">
      <alignment horizontal="center" vertical="center" wrapText="1"/>
    </xf>
    <xf numFmtId="0" fontId="18" fillId="0" borderId="0" xfId="0" applyFont="1" applyAlignment="1">
      <alignment horizontal="center" vertical="center" wrapText="1"/>
    </xf>
    <xf numFmtId="49" fontId="6" fillId="0" borderId="0" xfId="0" applyNumberFormat="1" applyFont="1" applyAlignment="1">
      <alignment horizontal="center" vertical="center"/>
    </xf>
    <xf numFmtId="0" fontId="17" fillId="8" borderId="0" xfId="0" applyFont="1" applyFill="1" applyAlignment="1">
      <alignment horizontal="center" vertical="center" wrapText="1"/>
    </xf>
    <xf numFmtId="49" fontId="6" fillId="0" borderId="0" xfId="0" applyNumberFormat="1" applyFont="1" applyAlignment="1">
      <alignment horizontal="left" vertical="center"/>
    </xf>
    <xf numFmtId="49" fontId="6" fillId="0" borderId="0" xfId="0" quotePrefix="1" applyNumberFormat="1" applyFont="1" applyAlignment="1">
      <alignment horizontal="center" vertical="center"/>
    </xf>
    <xf numFmtId="0" fontId="18" fillId="0" borderId="0" xfId="0" applyFont="1" applyAlignment="1">
      <alignment horizontal="center" wrapText="1"/>
    </xf>
    <xf numFmtId="0" fontId="7"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applyFont="1" applyAlignment="1">
      <alignment horizontal="center"/>
    </xf>
    <xf numFmtId="49" fontId="1" fillId="0" borderId="0" xfId="0" applyNumberFormat="1" applyFont="1" applyAlignment="1">
      <alignment horizontal="center" vertical="center"/>
    </xf>
    <xf numFmtId="0" fontId="4" fillId="15" borderId="0" xfId="0" applyFont="1" applyFill="1" applyAlignment="1">
      <alignment horizontal="center" vertical="center" wrapText="1"/>
    </xf>
    <xf numFmtId="0" fontId="4" fillId="15" borderId="1" xfId="0" applyFont="1" applyFill="1" applyBorder="1" applyAlignment="1">
      <alignment horizontal="left" vertical="center" wrapText="1"/>
    </xf>
    <xf numFmtId="3" fontId="4" fillId="15" borderId="1" xfId="0" applyNumberFormat="1" applyFont="1" applyFill="1" applyBorder="1" applyAlignment="1">
      <alignment horizontal="center" vertical="center" wrapText="1"/>
    </xf>
    <xf numFmtId="3" fontId="4" fillId="15" borderId="0" xfId="0" applyNumberFormat="1" applyFont="1" applyFill="1" applyAlignment="1">
      <alignment horizontal="center" vertical="center" wrapText="1"/>
    </xf>
    <xf numFmtId="0" fontId="18" fillId="15" borderId="0" xfId="0" applyFont="1" applyFill="1" applyAlignment="1">
      <alignment horizontal="center" vertical="center" wrapText="1"/>
    </xf>
    <xf numFmtId="0" fontId="1" fillId="15" borderId="0" xfId="0" applyFont="1" applyFill="1" applyAlignment="1">
      <alignment horizontal="center" vertical="center"/>
    </xf>
    <xf numFmtId="3" fontId="1" fillId="15" borderId="0" xfId="0" applyNumberFormat="1" applyFont="1" applyFill="1" applyAlignment="1">
      <alignment horizontal="center" vertical="center"/>
    </xf>
    <xf numFmtId="1" fontId="1" fillId="15" borderId="0" xfId="0" applyNumberFormat="1" applyFont="1" applyFill="1" applyAlignment="1">
      <alignment horizontal="center" vertical="center"/>
    </xf>
    <xf numFmtId="169" fontId="1" fillId="0" borderId="0" xfId="0" applyNumberFormat="1" applyFont="1" applyAlignment="1" applyProtection="1">
      <alignment horizontal="center" vertical="center"/>
      <protection locked="0"/>
    </xf>
    <xf numFmtId="169" fontId="1" fillId="15" borderId="0" xfId="0" applyNumberFormat="1" applyFont="1" applyFill="1" applyAlignment="1">
      <alignment horizontal="center" vertical="center"/>
    </xf>
    <xf numFmtId="3" fontId="4" fillId="15" borderId="1" xfId="0" applyNumberFormat="1" applyFont="1" applyFill="1" applyBorder="1" applyAlignment="1" applyProtection="1">
      <alignment horizontal="center" vertical="center" wrapText="1"/>
      <protection locked="0"/>
    </xf>
    <xf numFmtId="164" fontId="4" fillId="15" borderId="0" xfId="0" applyNumberFormat="1" applyFont="1" applyFill="1" applyAlignment="1">
      <alignment horizontal="center" vertical="center" wrapText="1"/>
    </xf>
    <xf numFmtId="164" fontId="1" fillId="15" borderId="0" xfId="0" applyNumberFormat="1" applyFont="1" applyFill="1" applyAlignment="1">
      <alignment horizontal="center" vertical="center"/>
    </xf>
    <xf numFmtId="3" fontId="4" fillId="15" borderId="2" xfId="0" applyNumberFormat="1" applyFont="1" applyFill="1" applyBorder="1" applyAlignment="1">
      <alignment horizontal="center" vertical="center" wrapText="1"/>
    </xf>
    <xf numFmtId="49" fontId="1" fillId="0" borderId="0" xfId="0" applyNumberFormat="1" applyFont="1" applyAlignment="1" applyProtection="1">
      <alignment horizontal="center" vertical="center" wrapText="1"/>
      <protection locked="0"/>
    </xf>
    <xf numFmtId="0" fontId="20" fillId="0" borderId="0" xfId="0" applyFont="1" applyAlignment="1">
      <alignment horizontal="center" vertical="center" wrapText="1"/>
    </xf>
    <xf numFmtId="0" fontId="21" fillId="0" borderId="0" xfId="0" applyFont="1" applyAlignment="1">
      <alignment horizontal="center" vertical="center"/>
    </xf>
    <xf numFmtId="0" fontId="21" fillId="0" borderId="0" xfId="0" applyFont="1"/>
    <xf numFmtId="0" fontId="22" fillId="0" borderId="0" xfId="0" applyFont="1" applyAlignment="1">
      <alignment horizontal="left" vertical="center" wrapText="1"/>
    </xf>
    <xf numFmtId="0" fontId="0" fillId="0" borderId="0" xfId="0" applyAlignment="1">
      <alignment horizontal="center" vertical="center"/>
    </xf>
    <xf numFmtId="0" fontId="23" fillId="0" borderId="0" xfId="0" applyFont="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3" fillId="0" borderId="0" xfId="0" applyFont="1" applyAlignment="1">
      <alignment horizontal="left" vertical="center" wrapText="1"/>
    </xf>
    <xf numFmtId="0" fontId="0" fillId="0" borderId="0" xfId="0" applyAlignment="1">
      <alignment wrapText="1"/>
    </xf>
    <xf numFmtId="0" fontId="24" fillId="16" borderId="1" xfId="0" applyFont="1" applyFill="1" applyBorder="1" applyAlignment="1">
      <alignment horizontal="center" vertical="center" wrapText="1"/>
    </xf>
    <xf numFmtId="0" fontId="25" fillId="0" borderId="0" xfId="0" applyFont="1" applyAlignment="1">
      <alignment horizontal="left" vertical="center" wrapText="1"/>
    </xf>
    <xf numFmtId="0" fontId="22" fillId="0" borderId="0" xfId="0" applyFont="1" applyAlignment="1">
      <alignment horizontal="center" vertical="center"/>
    </xf>
    <xf numFmtId="0" fontId="21" fillId="0" borderId="0" xfId="0" applyFont="1" applyAlignment="1">
      <alignment horizontal="left" vertical="center"/>
    </xf>
    <xf numFmtId="10" fontId="0" fillId="0" borderId="0" xfId="0" applyNumberFormat="1" applyAlignment="1">
      <alignment horizontal="center" vertical="center" wrapText="1"/>
    </xf>
    <xf numFmtId="0" fontId="0" fillId="16" borderId="1" xfId="0" applyFill="1" applyBorder="1" applyAlignment="1">
      <alignment horizontal="center" vertical="center"/>
    </xf>
    <xf numFmtId="0" fontId="0" fillId="16" borderId="1" xfId="0" applyFill="1" applyBorder="1" applyAlignment="1">
      <alignment vertical="center" wrapText="1"/>
    </xf>
    <xf numFmtId="0" fontId="23" fillId="0" borderId="0" xfId="0" applyFont="1" applyAlignment="1">
      <alignment vertical="center" wrapText="1"/>
    </xf>
    <xf numFmtId="0" fontId="21" fillId="0" borderId="0" xfId="0" applyFont="1" applyAlignment="1">
      <alignment vertical="center"/>
    </xf>
    <xf numFmtId="0" fontId="26" fillId="0" borderId="0" xfId="0" applyFont="1" applyAlignment="1">
      <alignment wrapText="1"/>
    </xf>
    <xf numFmtId="0" fontId="25" fillId="0" borderId="0" xfId="0" applyFont="1" applyAlignment="1">
      <alignment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170" fontId="23" fillId="0" borderId="0" xfId="0" applyNumberFormat="1" applyFont="1" applyAlignment="1">
      <alignment horizontal="center" vertical="center" wrapText="1"/>
    </xf>
    <xf numFmtId="171" fontId="23" fillId="0" borderId="0" xfId="0" applyNumberFormat="1" applyFont="1" applyAlignment="1">
      <alignment horizontal="left" vertical="center" wrapText="1"/>
    </xf>
    <xf numFmtId="10" fontId="23" fillId="0" borderId="0" xfId="0" applyNumberFormat="1" applyFont="1" applyAlignment="1">
      <alignment horizontal="center" vertical="center"/>
    </xf>
    <xf numFmtId="0" fontId="4" fillId="7" borderId="2" xfId="0" applyFont="1" applyFill="1" applyBorder="1" applyAlignment="1">
      <alignment vertical="center" wrapText="1"/>
    </xf>
    <xf numFmtId="0" fontId="4" fillId="7" borderId="2" xfId="0" applyFont="1" applyFill="1" applyBorder="1" applyAlignment="1">
      <alignment horizontal="left" vertical="center" wrapText="1"/>
    </xf>
    <xf numFmtId="0" fontId="29" fillId="17" borderId="1" xfId="0" applyFont="1" applyFill="1" applyBorder="1" applyAlignment="1">
      <alignment horizontal="center" vertical="center"/>
    </xf>
    <xf numFmtId="0" fontId="21" fillId="17" borderId="1" xfId="0" applyFont="1" applyFill="1" applyBorder="1" applyAlignment="1">
      <alignment horizontal="center"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xf>
    <xf numFmtId="0" fontId="21" fillId="0" borderId="1"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lignment vertical="center" wrapText="1"/>
    </xf>
    <xf numFmtId="0" fontId="29" fillId="12" borderId="1" xfId="0" applyFont="1" applyFill="1" applyBorder="1" applyAlignment="1">
      <alignment horizontal="center" vertical="center"/>
    </xf>
    <xf numFmtId="0" fontId="21" fillId="12" borderId="1" xfId="0" applyFont="1" applyFill="1" applyBorder="1" applyAlignment="1">
      <alignment horizontal="center" vertical="center"/>
    </xf>
    <xf numFmtId="0" fontId="21" fillId="12" borderId="1" xfId="0" applyFont="1" applyFill="1" applyBorder="1" applyAlignment="1">
      <alignment horizontal="left" vertical="center" wrapText="1"/>
    </xf>
    <xf numFmtId="3" fontId="21" fillId="12" borderId="1" xfId="0" applyNumberFormat="1" applyFont="1" applyFill="1" applyBorder="1" applyAlignment="1">
      <alignment horizontal="center" vertical="center"/>
    </xf>
    <xf numFmtId="0" fontId="6" fillId="16" borderId="1" xfId="0" applyFont="1" applyFill="1" applyBorder="1" applyAlignment="1">
      <alignment horizontal="left" vertical="center" wrapText="1"/>
    </xf>
    <xf numFmtId="0" fontId="30" fillId="16" borderId="1" xfId="0" applyFont="1" applyFill="1" applyBorder="1" applyAlignment="1">
      <alignment horizontal="center" vertical="center" wrapText="1"/>
    </xf>
    <xf numFmtId="0" fontId="0" fillId="16" borderId="1" xfId="0" applyFill="1" applyBorder="1" applyAlignment="1">
      <alignment horizontal="center" vertical="center" wrapText="1"/>
    </xf>
    <xf numFmtId="0" fontId="30" fillId="18" borderId="1" xfId="0" applyFont="1" applyFill="1" applyBorder="1" applyAlignment="1">
      <alignment horizontal="center" vertical="center" wrapText="1"/>
    </xf>
    <xf numFmtId="0" fontId="0" fillId="18" borderId="1" xfId="0" applyFill="1" applyBorder="1" applyAlignment="1">
      <alignment horizontal="center" vertical="center" wrapText="1"/>
    </xf>
    <xf numFmtId="0" fontId="0" fillId="18" borderId="1" xfId="0" applyFill="1" applyBorder="1" applyAlignment="1">
      <alignment vertical="center" wrapText="1"/>
    </xf>
    <xf numFmtId="9" fontId="0" fillId="18" borderId="1" xfId="0" applyNumberFormat="1" applyFill="1" applyBorder="1" applyAlignment="1">
      <alignment horizontal="center" vertical="center" wrapText="1"/>
    </xf>
    <xf numFmtId="0" fontId="0" fillId="18" borderId="1" xfId="0" quotePrefix="1" applyFill="1" applyBorder="1" applyAlignment="1">
      <alignment horizontal="center" vertical="center" wrapText="1"/>
    </xf>
    <xf numFmtId="3" fontId="0" fillId="0" borderId="1" xfId="0" applyNumberFormat="1" applyBorder="1" applyAlignment="1" applyProtection="1">
      <alignment horizontal="center" vertical="center"/>
      <protection locked="0"/>
    </xf>
    <xf numFmtId="0" fontId="30" fillId="18" borderId="1" xfId="0" applyFont="1" applyFill="1" applyBorder="1" applyAlignment="1">
      <alignment horizontal="center" vertical="center"/>
    </xf>
    <xf numFmtId="0" fontId="0" fillId="18" borderId="1" xfId="0" applyFill="1" applyBorder="1" applyAlignment="1">
      <alignment horizontal="center" vertical="center"/>
    </xf>
    <xf numFmtId="0" fontId="0" fillId="19" borderId="1" xfId="0" applyFill="1" applyBorder="1" applyAlignment="1">
      <alignment vertical="center" wrapText="1"/>
    </xf>
    <xf numFmtId="10" fontId="0" fillId="18" borderId="1" xfId="0" applyNumberFormat="1" applyFill="1" applyBorder="1" applyAlignment="1">
      <alignment horizontal="center" vertical="center"/>
    </xf>
    <xf numFmtId="0" fontId="0" fillId="20" borderId="1" xfId="0" applyFill="1" applyBorder="1" applyAlignment="1">
      <alignment horizontal="center" vertical="center"/>
    </xf>
    <xf numFmtId="0" fontId="0" fillId="20" borderId="1" xfId="0" applyFill="1" applyBorder="1" applyAlignment="1">
      <alignment vertical="center" wrapText="1"/>
    </xf>
    <xf numFmtId="49" fontId="0" fillId="0" borderId="0" xfId="0" applyNumberFormat="1"/>
    <xf numFmtId="3" fontId="4" fillId="3" borderId="2"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5" borderId="1" xfId="0" applyNumberFormat="1" applyFont="1" applyFill="1" applyBorder="1" applyAlignment="1" applyProtection="1">
      <alignment horizontal="center" vertical="center" wrapText="1"/>
      <protection locked="0"/>
    </xf>
    <xf numFmtId="3" fontId="4" fillId="4" borderId="2" xfId="0" applyNumberFormat="1" applyFont="1" applyFill="1" applyBorder="1" applyAlignment="1">
      <alignment horizontal="center" vertical="center" wrapText="1"/>
    </xf>
    <xf numFmtId="3" fontId="4" fillId="5" borderId="6" xfId="0" applyNumberFormat="1" applyFont="1" applyFill="1" applyBorder="1" applyAlignment="1" applyProtection="1">
      <alignment horizontal="center" vertical="center" wrapText="1"/>
      <protection locked="0"/>
    </xf>
    <xf numFmtId="3" fontId="4" fillId="5" borderId="3" xfId="0" applyNumberFormat="1" applyFont="1" applyFill="1" applyBorder="1" applyAlignment="1" applyProtection="1">
      <alignment horizontal="center" vertical="center" wrapText="1"/>
      <protection locked="0"/>
    </xf>
    <xf numFmtId="3" fontId="4" fillId="7" borderId="2" xfId="0" applyNumberFormat="1" applyFont="1" applyFill="1" applyBorder="1" applyAlignment="1" applyProtection="1">
      <alignment horizontal="center" vertical="center" wrapText="1"/>
      <protection locked="0"/>
    </xf>
    <xf numFmtId="3" fontId="4" fillId="7" borderId="3" xfId="0" applyNumberFormat="1" applyFont="1" applyFill="1" applyBorder="1" applyAlignment="1" applyProtection="1">
      <alignment horizontal="center" vertical="center" wrapText="1"/>
      <protection locked="0"/>
    </xf>
    <xf numFmtId="3" fontId="4" fillId="4" borderId="2" xfId="0" applyNumberFormat="1" applyFont="1" applyFill="1" applyBorder="1" applyAlignment="1" applyProtection="1">
      <alignment horizontal="center" vertical="center" wrapText="1"/>
      <protection locked="0"/>
    </xf>
    <xf numFmtId="3" fontId="4" fillId="9" borderId="1" xfId="0" applyNumberFormat="1" applyFont="1" applyFill="1" applyBorder="1" applyAlignment="1" applyProtection="1">
      <alignment horizontal="center" vertical="center" wrapText="1"/>
      <protection locked="0"/>
    </xf>
    <xf numFmtId="3" fontId="4" fillId="3" borderId="1" xfId="0" applyNumberFormat="1"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4" borderId="6" xfId="0" applyNumberFormat="1" applyFont="1" applyFill="1" applyBorder="1" applyAlignment="1">
      <alignment horizontal="center" vertical="center" wrapText="1"/>
    </xf>
    <xf numFmtId="3" fontId="4" fillId="4" borderId="1" xfId="0" applyNumberFormat="1" applyFont="1" applyFill="1" applyBorder="1" applyAlignment="1" applyProtection="1">
      <alignment horizontal="center" vertical="center" wrapText="1"/>
      <protection locked="0"/>
    </xf>
    <xf numFmtId="0" fontId="31" fillId="21" borderId="1" xfId="0" applyFont="1" applyFill="1" applyBorder="1" applyAlignment="1">
      <alignment horizontal="center" vertical="center"/>
    </xf>
    <xf numFmtId="0" fontId="6" fillId="22" borderId="1" xfId="0" applyFont="1" applyFill="1" applyBorder="1" applyAlignment="1">
      <alignment vertical="center" wrapText="1"/>
    </xf>
    <xf numFmtId="0" fontId="6" fillId="22" borderId="1" xfId="0" applyFont="1" applyFill="1" applyBorder="1" applyAlignment="1">
      <alignment horizontal="center" vertical="center" wrapText="1"/>
    </xf>
    <xf numFmtId="0" fontId="31" fillId="21" borderId="1" xfId="0" applyFont="1" applyFill="1" applyBorder="1"/>
    <xf numFmtId="0" fontId="31" fillId="21" borderId="1" xfId="0" applyFont="1" applyFill="1" applyBorder="1" applyAlignment="1">
      <alignment horizontal="center"/>
    </xf>
    <xf numFmtId="0" fontId="0" fillId="23" borderId="1" xfId="0" applyFill="1" applyBorder="1" applyAlignment="1">
      <alignment horizontal="left" vertical="center" wrapText="1"/>
    </xf>
    <xf numFmtId="0" fontId="0" fillId="23" borderId="1" xfId="0" applyFill="1" applyBorder="1" applyAlignment="1">
      <alignment horizontal="center" vertical="center" wrapText="1"/>
    </xf>
    <xf numFmtId="0" fontId="0" fillId="23" borderId="1" xfId="0" applyFill="1" applyBorder="1" applyAlignment="1">
      <alignment vertical="center" wrapText="1"/>
    </xf>
    <xf numFmtId="0" fontId="6" fillId="23" borderId="1" xfId="0" applyFont="1" applyFill="1" applyBorder="1" applyAlignment="1">
      <alignment horizontal="left" vertical="center" wrapText="1"/>
    </xf>
    <xf numFmtId="0" fontId="6" fillId="23" borderId="1" xfId="0" applyFont="1" applyFill="1" applyBorder="1" applyAlignment="1">
      <alignment horizontal="center" vertical="center" wrapText="1"/>
    </xf>
    <xf numFmtId="0" fontId="0" fillId="24" borderId="1" xfId="0" applyFill="1" applyBorder="1" applyAlignment="1">
      <alignment horizontal="center" vertical="center" wrapText="1"/>
    </xf>
    <xf numFmtId="0" fontId="31" fillId="15" borderId="1" xfId="0" applyFont="1" applyFill="1" applyBorder="1" applyAlignment="1">
      <alignment horizontal="center" vertical="center"/>
    </xf>
    <xf numFmtId="0" fontId="5" fillId="5" borderId="4" xfId="0" applyFont="1" applyFill="1" applyBorder="1" applyAlignment="1">
      <alignment horizontal="center" vertical="center" wrapText="1"/>
    </xf>
    <xf numFmtId="0" fontId="0" fillId="25" borderId="1" xfId="0" applyFill="1" applyBorder="1" applyAlignment="1">
      <alignment horizontal="center" vertical="center"/>
    </xf>
    <xf numFmtId="0" fontId="0" fillId="25" borderId="1" xfId="0" applyFill="1" applyBorder="1" applyAlignment="1">
      <alignment vertical="center" wrapText="1"/>
    </xf>
    <xf numFmtId="0" fontId="0" fillId="26" borderId="1" xfId="0" applyFill="1" applyBorder="1" applyAlignment="1">
      <alignment horizontal="center" vertical="center"/>
    </xf>
    <xf numFmtId="0" fontId="31" fillId="27" borderId="1" xfId="0" applyFont="1" applyFill="1" applyBorder="1" applyAlignment="1">
      <alignment horizontal="center" vertical="center"/>
    </xf>
    <xf numFmtId="0" fontId="6" fillId="28" borderId="1" xfId="0" applyFont="1" applyFill="1" applyBorder="1" applyAlignment="1">
      <alignment horizontal="left" vertical="center" wrapText="1"/>
    </xf>
    <xf numFmtId="0" fontId="6" fillId="28" borderId="1" xfId="0" applyFont="1" applyFill="1" applyBorder="1" applyAlignment="1">
      <alignment horizontal="center" vertical="center" wrapText="1"/>
    </xf>
    <xf numFmtId="0" fontId="0" fillId="28" borderId="1" xfId="0" applyFill="1" applyBorder="1" applyAlignment="1">
      <alignment horizontal="left" vertical="center" wrapText="1"/>
    </xf>
    <xf numFmtId="0" fontId="0" fillId="28" borderId="1" xfId="0" applyFill="1" applyBorder="1" applyAlignment="1">
      <alignment horizontal="center" vertical="center" wrapText="1"/>
    </xf>
    <xf numFmtId="1" fontId="0" fillId="28" borderId="1" xfId="0" applyNumberFormat="1" applyFill="1" applyBorder="1" applyAlignment="1">
      <alignment horizontal="center" vertical="center" wrapText="1"/>
    </xf>
    <xf numFmtId="0" fontId="6" fillId="29" borderId="1" xfId="0" applyFont="1" applyFill="1" applyBorder="1" applyAlignment="1">
      <alignment horizontal="left" vertical="center" wrapText="1"/>
    </xf>
    <xf numFmtId="0" fontId="6" fillId="29" borderId="1" xfId="0" applyFont="1" applyFill="1" applyBorder="1" applyAlignment="1">
      <alignment horizontal="center" vertical="center" wrapText="1"/>
    </xf>
    <xf numFmtId="0" fontId="0" fillId="29" borderId="1" xfId="0" applyFill="1" applyBorder="1" applyAlignment="1">
      <alignment horizontal="left" vertical="center" wrapText="1"/>
    </xf>
    <xf numFmtId="0" fontId="0" fillId="29" borderId="1" xfId="0" applyFill="1" applyBorder="1" applyAlignment="1">
      <alignment horizontal="center" vertical="center" wrapText="1"/>
    </xf>
    <xf numFmtId="0" fontId="31" fillId="30" borderId="1" xfId="0" applyFont="1" applyFill="1" applyBorder="1" applyAlignment="1">
      <alignment horizontal="center" vertical="center"/>
    </xf>
    <xf numFmtId="0" fontId="6" fillId="31" borderId="1" xfId="0" applyFont="1" applyFill="1" applyBorder="1" applyAlignment="1">
      <alignment horizontal="left" vertical="center" wrapText="1"/>
    </xf>
    <xf numFmtId="0" fontId="6" fillId="31" borderId="1" xfId="0" applyFont="1" applyFill="1" applyBorder="1" applyAlignment="1">
      <alignment horizontal="center" vertical="center" wrapText="1"/>
    </xf>
    <xf numFmtId="0" fontId="0" fillId="31" borderId="1" xfId="0" applyFill="1" applyBorder="1" applyAlignment="1">
      <alignment horizontal="left" vertical="center" wrapText="1"/>
    </xf>
    <xf numFmtId="0" fontId="0" fillId="31" borderId="1" xfId="0" applyFill="1" applyBorder="1" applyAlignment="1">
      <alignment horizontal="center" vertical="center" wrapText="1"/>
    </xf>
    <xf numFmtId="0" fontId="6" fillId="32" borderId="1" xfId="0" applyFont="1" applyFill="1" applyBorder="1" applyAlignment="1">
      <alignment horizontal="center" vertical="center"/>
    </xf>
    <xf numFmtId="0" fontId="6" fillId="32" borderId="1" xfId="0" applyFont="1" applyFill="1" applyBorder="1" applyAlignment="1">
      <alignment horizontal="left" vertical="center" wrapText="1"/>
    </xf>
    <xf numFmtId="0" fontId="6" fillId="32" borderId="1" xfId="0" applyFont="1" applyFill="1" applyBorder="1" applyAlignment="1">
      <alignment horizontal="center" vertical="center" wrapText="1"/>
    </xf>
    <xf numFmtId="0" fontId="0" fillId="32" borderId="1" xfId="0" applyFill="1" applyBorder="1" applyAlignment="1">
      <alignment horizontal="left" vertical="center" wrapText="1"/>
    </xf>
    <xf numFmtId="0" fontId="0" fillId="32" borderId="1" xfId="0" applyFill="1" applyBorder="1" applyAlignment="1">
      <alignment horizontal="center" vertical="center" wrapText="1"/>
    </xf>
    <xf numFmtId="0" fontId="0" fillId="32" borderId="1" xfId="0" applyFill="1" applyBorder="1" applyAlignment="1">
      <alignment vertical="center" wrapText="1"/>
    </xf>
    <xf numFmtId="0" fontId="6" fillId="33" borderId="1" xfId="0" applyFont="1" applyFill="1" applyBorder="1" applyAlignment="1">
      <alignment horizontal="left" vertical="center" wrapText="1"/>
    </xf>
    <xf numFmtId="0" fontId="6" fillId="33" borderId="1" xfId="0" applyFont="1" applyFill="1" applyBorder="1" applyAlignment="1">
      <alignment horizontal="center" vertical="center" wrapText="1"/>
    </xf>
    <xf numFmtId="0" fontId="0" fillId="33" borderId="1" xfId="0" applyFill="1" applyBorder="1" applyAlignment="1">
      <alignment horizontal="left" vertical="center" wrapText="1"/>
    </xf>
    <xf numFmtId="0" fontId="0" fillId="33" borderId="1" xfId="0" applyFill="1" applyBorder="1" applyAlignment="1">
      <alignment horizontal="center" vertical="center" wrapText="1"/>
    </xf>
    <xf numFmtId="0" fontId="0" fillId="34" borderId="1" xfId="0" applyFill="1" applyBorder="1" applyAlignment="1">
      <alignment vertical="center" wrapText="1"/>
    </xf>
    <xf numFmtId="0" fontId="0" fillId="34" borderId="1" xfId="0" applyFill="1" applyBorder="1" applyAlignment="1">
      <alignment horizontal="center" vertical="center" wrapText="1"/>
    </xf>
    <xf numFmtId="0" fontId="0" fillId="35" borderId="1" xfId="0" applyFill="1" applyBorder="1" applyAlignment="1">
      <alignment horizontal="center" vertical="center"/>
    </xf>
    <xf numFmtId="0" fontId="0" fillId="35" borderId="1" xfId="0" applyFill="1" applyBorder="1" applyAlignment="1">
      <alignment vertical="center" wrapText="1"/>
    </xf>
    <xf numFmtId="0" fontId="0" fillId="26" borderId="1" xfId="0" applyFill="1" applyBorder="1" applyAlignment="1">
      <alignment vertical="center" wrapText="1"/>
    </xf>
    <xf numFmtId="0" fontId="6" fillId="35" borderId="1" xfId="0" applyFont="1" applyFill="1" applyBorder="1" applyAlignment="1">
      <alignment vertical="center" wrapText="1"/>
    </xf>
    <xf numFmtId="3" fontId="0" fillId="26" borderId="1" xfId="0" applyNumberFormat="1" applyFill="1" applyBorder="1" applyAlignment="1">
      <alignment horizontal="center" vertical="center"/>
    </xf>
    <xf numFmtId="0" fontId="6" fillId="35" borderId="1" xfId="0" applyFont="1" applyFill="1" applyBorder="1" applyAlignment="1">
      <alignment horizontal="left" vertical="center" wrapText="1"/>
    </xf>
    <xf numFmtId="0" fontId="0" fillId="26" borderId="1" xfId="0" applyFill="1" applyBorder="1" applyAlignment="1">
      <alignment horizontal="left" vertical="center" wrapText="1"/>
    </xf>
    <xf numFmtId="0" fontId="0" fillId="35" borderId="1" xfId="0" applyFill="1" applyBorder="1" applyAlignment="1">
      <alignment horizontal="left" vertical="center" wrapText="1"/>
    </xf>
    <xf numFmtId="0" fontId="6" fillId="36" borderId="1" xfId="0" applyFont="1" applyFill="1" applyBorder="1" applyAlignment="1">
      <alignment horizontal="center" vertical="center" wrapText="1"/>
    </xf>
    <xf numFmtId="0" fontId="6" fillId="36" borderId="1" xfId="0" applyFont="1" applyFill="1" applyBorder="1" applyAlignment="1">
      <alignment horizontal="left" vertical="center" wrapText="1"/>
    </xf>
    <xf numFmtId="0" fontId="0" fillId="36" borderId="1" xfId="0" applyFill="1" applyBorder="1" applyAlignment="1">
      <alignment horizontal="center" vertical="center"/>
    </xf>
    <xf numFmtId="0" fontId="0" fillId="36" borderId="1" xfId="0" applyFill="1" applyBorder="1" applyAlignment="1">
      <alignment vertical="center" wrapText="1"/>
    </xf>
    <xf numFmtId="0" fontId="0" fillId="36" borderId="1" xfId="0" applyFill="1" applyBorder="1" applyAlignment="1">
      <alignment horizontal="left" vertical="center" wrapText="1"/>
    </xf>
    <xf numFmtId="168" fontId="0" fillId="25" borderId="1" xfId="0" applyNumberFormat="1" applyFill="1" applyBorder="1" applyAlignment="1">
      <alignment horizontal="center" vertical="center"/>
    </xf>
    <xf numFmtId="0" fontId="6" fillId="25" borderId="1" xfId="0" applyFont="1" applyFill="1" applyBorder="1" applyAlignment="1">
      <alignment horizontal="center" vertical="center"/>
    </xf>
    <xf numFmtId="0" fontId="0" fillId="25" borderId="1" xfId="0" applyFill="1" applyBorder="1" applyAlignment="1">
      <alignment horizontal="left" vertical="center" wrapText="1"/>
    </xf>
    <xf numFmtId="0" fontId="0" fillId="37" borderId="1" xfId="0" applyFill="1" applyBorder="1" applyAlignment="1">
      <alignment horizontal="center" vertical="center"/>
    </xf>
    <xf numFmtId="0" fontId="0" fillId="38" borderId="1" xfId="0" applyFill="1" applyBorder="1" applyAlignment="1">
      <alignment horizontal="center" vertical="center" wrapText="1"/>
    </xf>
    <xf numFmtId="0" fontId="0" fillId="38" borderId="1" xfId="0" applyFill="1" applyBorder="1" applyAlignment="1">
      <alignment vertical="center" wrapText="1"/>
    </xf>
    <xf numFmtId="0" fontId="6" fillId="39" borderId="1" xfId="0" applyFont="1" applyFill="1" applyBorder="1" applyAlignment="1">
      <alignment horizontal="center" vertical="center" wrapText="1"/>
    </xf>
    <xf numFmtId="0" fontId="6" fillId="39" borderId="1" xfId="0" applyFont="1" applyFill="1" applyBorder="1" applyAlignment="1">
      <alignment horizontal="left" vertical="center" wrapText="1"/>
    </xf>
    <xf numFmtId="0" fontId="0" fillId="40" borderId="1" xfId="0" applyFill="1" applyBorder="1" applyAlignment="1">
      <alignment horizontal="center" vertical="center"/>
    </xf>
    <xf numFmtId="0" fontId="0" fillId="40" borderId="1" xfId="0" applyFill="1" applyBorder="1" applyAlignment="1">
      <alignment vertical="center" wrapText="1"/>
    </xf>
    <xf numFmtId="0" fontId="0" fillId="39" borderId="1" xfId="0" applyFill="1" applyBorder="1" applyAlignment="1">
      <alignment horizontal="center" vertical="center"/>
    </xf>
    <xf numFmtId="0" fontId="0" fillId="39" borderId="1" xfId="0" applyFill="1" applyBorder="1" applyAlignment="1">
      <alignment vertical="center" wrapText="1"/>
    </xf>
    <xf numFmtId="0" fontId="0" fillId="40" borderId="1" xfId="0" applyFill="1" applyBorder="1" applyAlignment="1">
      <alignment horizontal="left" vertical="center" wrapText="1"/>
    </xf>
    <xf numFmtId="0" fontId="6" fillId="40" borderId="1" xfId="0" applyFont="1" applyFill="1" applyBorder="1" applyAlignment="1">
      <alignment horizontal="center" vertical="center" wrapText="1"/>
    </xf>
    <xf numFmtId="0" fontId="6" fillId="41" borderId="1" xfId="0" applyFont="1" applyFill="1" applyBorder="1" applyAlignment="1">
      <alignment horizontal="center" vertical="center" wrapText="1"/>
    </xf>
    <xf numFmtId="0" fontId="6" fillId="41" borderId="1" xfId="0" applyFont="1" applyFill="1" applyBorder="1" applyAlignment="1">
      <alignment vertical="center" wrapText="1"/>
    </xf>
    <xf numFmtId="0" fontId="0" fillId="41" borderId="1" xfId="0" applyFill="1" applyBorder="1" applyAlignment="1">
      <alignment horizontal="center" vertical="center"/>
    </xf>
    <xf numFmtId="0" fontId="0" fillId="41" borderId="1" xfId="0" applyFill="1" applyBorder="1" applyAlignment="1">
      <alignment vertical="center" wrapText="1"/>
    </xf>
    <xf numFmtId="0" fontId="6" fillId="41" borderId="1" xfId="0" applyFont="1" applyFill="1" applyBorder="1" applyAlignment="1">
      <alignment horizontal="left" vertical="center" wrapText="1"/>
    </xf>
    <xf numFmtId="0" fontId="0" fillId="41" borderId="1" xfId="0" applyFill="1" applyBorder="1" applyAlignment="1">
      <alignment horizontal="center" vertical="center" wrapText="1"/>
    </xf>
    <xf numFmtId="0" fontId="0" fillId="20" borderId="1" xfId="0" applyFill="1" applyBorder="1" applyAlignment="1">
      <alignment horizontal="center" vertical="center" wrapText="1"/>
    </xf>
    <xf numFmtId="165" fontId="0" fillId="20" borderId="1" xfId="0" applyNumberFormat="1" applyFill="1" applyBorder="1" applyAlignment="1">
      <alignment horizontal="center" vertical="center" wrapText="1"/>
    </xf>
    <xf numFmtId="10" fontId="0" fillId="20" borderId="1" xfId="0" applyNumberFormat="1" applyFill="1" applyBorder="1" applyAlignment="1">
      <alignment horizontal="center" vertical="center"/>
    </xf>
    <xf numFmtId="1" fontId="0" fillId="20" borderId="1" xfId="0" applyNumberFormat="1" applyFill="1" applyBorder="1" applyAlignment="1">
      <alignment horizontal="center" vertical="center"/>
    </xf>
    <xf numFmtId="165" fontId="0" fillId="20" borderId="1" xfId="0" applyNumberFormat="1" applyFill="1" applyBorder="1" applyAlignment="1">
      <alignment horizontal="center" vertical="center"/>
    </xf>
    <xf numFmtId="10" fontId="0" fillId="20" borderId="1" xfId="0" applyNumberFormat="1" applyFill="1" applyBorder="1" applyAlignment="1">
      <alignment horizontal="center" vertical="center" wrapText="1"/>
    </xf>
    <xf numFmtId="1" fontId="0" fillId="20" borderId="1" xfId="0" applyNumberFormat="1" applyFill="1" applyBorder="1" applyAlignment="1">
      <alignment horizontal="center" vertical="center" wrapText="1"/>
    </xf>
    <xf numFmtId="0" fontId="0" fillId="20" borderId="1" xfId="0" quotePrefix="1" applyFill="1" applyBorder="1" applyAlignment="1">
      <alignment horizontal="center" vertical="center"/>
    </xf>
    <xf numFmtId="0" fontId="6" fillId="16" borderId="1" xfId="0" applyFont="1" applyFill="1" applyBorder="1" applyAlignment="1">
      <alignment vertical="center" wrapText="1"/>
    </xf>
    <xf numFmtId="0" fontId="6" fillId="18" borderId="1" xfId="0" applyFont="1" applyFill="1" applyBorder="1" applyAlignment="1">
      <alignment horizontal="center" vertical="center"/>
    </xf>
    <xf numFmtId="0" fontId="0" fillId="18" borderId="1" xfId="0" quotePrefix="1" applyFill="1" applyBorder="1" applyAlignment="1">
      <alignment horizontal="center" vertical="center"/>
    </xf>
    <xf numFmtId="0" fontId="30" fillId="16" borderId="1" xfId="0" applyFont="1" applyFill="1" applyBorder="1" applyAlignment="1">
      <alignment horizontal="center" vertical="center"/>
    </xf>
    <xf numFmtId="3" fontId="0" fillId="18" borderId="1" xfId="0" applyNumberFormat="1" applyFill="1" applyBorder="1" applyAlignment="1">
      <alignment horizontal="center" vertical="center"/>
    </xf>
    <xf numFmtId="10" fontId="0" fillId="18" borderId="1" xfId="0" applyNumberFormat="1" applyFill="1" applyBorder="1" applyAlignment="1">
      <alignment horizontal="center" vertical="center" wrapText="1"/>
    </xf>
    <xf numFmtId="0" fontId="0" fillId="42" borderId="1" xfId="0" applyFill="1" applyBorder="1" applyAlignment="1">
      <alignment vertical="center" wrapText="1"/>
    </xf>
    <xf numFmtId="0" fontId="0" fillId="42" borderId="1" xfId="0" applyFill="1" applyBorder="1" applyAlignment="1">
      <alignment horizontal="center" vertical="center"/>
    </xf>
    <xf numFmtId="0" fontId="6" fillId="42" borderId="1" xfId="0" applyFont="1" applyFill="1" applyBorder="1" applyAlignment="1">
      <alignment vertical="center" wrapText="1"/>
    </xf>
    <xf numFmtId="3" fontId="0" fillId="18" borderId="1" xfId="0" applyNumberFormat="1" applyFill="1" applyBorder="1" applyAlignment="1" applyProtection="1">
      <alignment horizontal="center" vertical="center"/>
      <protection locked="0"/>
    </xf>
    <xf numFmtId="0" fontId="6" fillId="43" borderId="1" xfId="0" applyFont="1" applyFill="1" applyBorder="1" applyAlignment="1">
      <alignment horizontal="center" vertical="center" wrapText="1"/>
    </xf>
    <xf numFmtId="0" fontId="6" fillId="43" borderId="1" xfId="0" applyFont="1" applyFill="1" applyBorder="1" applyAlignment="1">
      <alignment horizontal="left" vertical="center" wrapText="1"/>
    </xf>
    <xf numFmtId="0" fontId="0" fillId="43" borderId="1" xfId="0" applyFill="1" applyBorder="1" applyAlignment="1">
      <alignment horizontal="center" vertical="center"/>
    </xf>
    <xf numFmtId="0" fontId="0" fillId="43" borderId="1" xfId="0" applyFill="1" applyBorder="1" applyAlignment="1">
      <alignment horizontal="left" vertical="center" wrapText="1"/>
    </xf>
    <xf numFmtId="0" fontId="0" fillId="44" borderId="1" xfId="0" applyFill="1" applyBorder="1" applyAlignment="1">
      <alignment vertical="center" wrapText="1"/>
    </xf>
    <xf numFmtId="0" fontId="0" fillId="44" borderId="1" xfId="0" applyFill="1" applyBorder="1" applyAlignment="1">
      <alignment horizontal="center" vertical="center" wrapText="1"/>
    </xf>
    <xf numFmtId="0" fontId="0" fillId="45" borderId="1" xfId="0" applyFill="1" applyBorder="1" applyAlignment="1">
      <alignment horizontal="center" vertical="center"/>
    </xf>
    <xf numFmtId="0" fontId="0" fillId="45" borderId="1" xfId="0" applyFill="1" applyBorder="1" applyAlignment="1">
      <alignment vertical="center" wrapText="1"/>
    </xf>
    <xf numFmtId="0" fontId="0" fillId="45" borderId="1" xfId="0" applyFill="1" applyBorder="1" applyAlignment="1">
      <alignment horizontal="center" vertical="center" wrapText="1"/>
    </xf>
    <xf numFmtId="0" fontId="0" fillId="43" borderId="1" xfId="0" applyFill="1" applyBorder="1" applyAlignment="1">
      <alignment vertical="center" wrapText="1"/>
    </xf>
    <xf numFmtId="0" fontId="0" fillId="44" borderId="1" xfId="0" applyFill="1" applyBorder="1" applyAlignment="1">
      <alignment horizontal="center" vertical="center"/>
    </xf>
    <xf numFmtId="0" fontId="6" fillId="44" borderId="1" xfId="0" applyFont="1" applyFill="1" applyBorder="1" applyAlignment="1">
      <alignment vertical="center" wrapText="1"/>
    </xf>
    <xf numFmtId="0" fontId="0" fillId="45" borderId="1" xfId="0" applyFill="1" applyBorder="1" applyAlignment="1">
      <alignment horizontal="left" vertical="center" wrapText="1"/>
    </xf>
    <xf numFmtId="0" fontId="6" fillId="35" borderId="1" xfId="0" applyFont="1" applyFill="1" applyBorder="1" applyAlignment="1">
      <alignment horizontal="center" vertical="center" wrapText="1"/>
    </xf>
    <xf numFmtId="0" fontId="30" fillId="35" borderId="1" xfId="0" applyFont="1" applyFill="1" applyBorder="1" applyAlignment="1">
      <alignment horizontal="center" vertical="center"/>
    </xf>
    <xf numFmtId="0" fontId="6" fillId="26" borderId="1" xfId="0" applyFont="1" applyFill="1" applyBorder="1" applyAlignment="1">
      <alignment horizontal="center" vertical="center" wrapText="1"/>
    </xf>
    <xf numFmtId="3" fontId="21" fillId="0" borderId="1" xfId="0" applyNumberFormat="1" applyFont="1" applyBorder="1" applyAlignment="1" applyProtection="1">
      <alignment horizontal="center" vertical="center"/>
      <protection locked="0"/>
    </xf>
    <xf numFmtId="0" fontId="4" fillId="3" borderId="4" xfId="0" applyFont="1" applyFill="1" applyBorder="1" applyAlignment="1">
      <alignment horizontal="left" vertical="center" wrapText="1"/>
    </xf>
    <xf numFmtId="4" fontId="0" fillId="18" borderId="1" xfId="0" applyNumberFormat="1" applyFill="1" applyBorder="1" applyAlignment="1">
      <alignment horizontal="center" vertical="center" wrapText="1"/>
    </xf>
    <xf numFmtId="1" fontId="0" fillId="18" borderId="1" xfId="0" applyNumberFormat="1" applyFill="1" applyBorder="1" applyAlignment="1">
      <alignment horizontal="center" vertical="center" wrapText="1"/>
    </xf>
    <xf numFmtId="3" fontId="0" fillId="18" borderId="1" xfId="0" applyNumberFormat="1" applyFill="1" applyBorder="1" applyAlignment="1">
      <alignment horizontal="center" vertical="center" wrapText="1"/>
    </xf>
    <xf numFmtId="0" fontId="6" fillId="0" borderId="0" xfId="0" applyFont="1" applyAlignment="1">
      <alignment horizontal="center" vertical="center"/>
    </xf>
    <xf numFmtId="49" fontId="6" fillId="10" borderId="0" xfId="0" quotePrefix="1" applyNumberFormat="1" applyFont="1" applyFill="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center"/>
    </xf>
    <xf numFmtId="0" fontId="32" fillId="0" borderId="0" xfId="0" applyFont="1" applyAlignment="1">
      <alignment horizontal="center" vertical="center"/>
    </xf>
    <xf numFmtId="49" fontId="32" fillId="0" borderId="0" xfId="0" applyNumberFormat="1" applyFont="1" applyAlignment="1">
      <alignment horizontal="center" vertical="center"/>
    </xf>
    <xf numFmtId="0" fontId="6" fillId="41" borderId="1" xfId="0" applyFont="1" applyFill="1" applyBorder="1" applyAlignment="1">
      <alignment horizontal="center" vertical="center"/>
    </xf>
    <xf numFmtId="0" fontId="0" fillId="0" borderId="1" xfId="0" applyBorder="1"/>
    <xf numFmtId="0" fontId="6" fillId="35" borderId="1" xfId="0" applyFont="1" applyFill="1" applyBorder="1" applyAlignment="1">
      <alignment horizontal="center" vertical="center"/>
    </xf>
    <xf numFmtId="0" fontId="6" fillId="36" borderId="1" xfId="0" applyFont="1" applyFill="1" applyBorder="1" applyAlignment="1">
      <alignment horizontal="center" vertical="center"/>
    </xf>
    <xf numFmtId="0" fontId="6" fillId="16" borderId="1" xfId="0" applyFont="1" applyFill="1" applyBorder="1" applyAlignment="1">
      <alignment horizontal="center" vertical="center"/>
    </xf>
    <xf numFmtId="3" fontId="4" fillId="0" borderId="3" xfId="0" applyNumberFormat="1" applyFont="1" applyBorder="1" applyAlignment="1">
      <alignment horizontal="center" vertical="center" wrapText="1"/>
    </xf>
    <xf numFmtId="172" fontId="6" fillId="0" borderId="0" xfId="0" applyNumberFormat="1" applyFont="1" applyAlignment="1">
      <alignment horizontal="center" vertical="center"/>
    </xf>
    <xf numFmtId="0" fontId="6" fillId="0" borderId="0" xfId="0" applyFont="1" applyAlignment="1">
      <alignment horizontal="left" vertical="center"/>
    </xf>
    <xf numFmtId="0" fontId="31" fillId="0" borderId="0" xfId="0" applyFont="1" applyAlignment="1">
      <alignment horizontal="center"/>
    </xf>
    <xf numFmtId="0" fontId="20" fillId="0" borderId="0" xfId="0" applyFont="1" applyAlignment="1">
      <alignment horizontal="center"/>
    </xf>
    <xf numFmtId="10" fontId="1" fillId="0" borderId="0" xfId="0" applyNumberFormat="1" applyFont="1" applyAlignment="1" applyProtection="1">
      <alignment horizontal="center" vertical="center"/>
      <protection locked="0"/>
    </xf>
    <xf numFmtId="10" fontId="4" fillId="0" borderId="0" xfId="0" applyNumberFormat="1" applyFont="1" applyAlignment="1">
      <alignment horizontal="center" vertical="center" wrapText="1"/>
    </xf>
    <xf numFmtId="0" fontId="31" fillId="0" borderId="0" xfId="0" applyFont="1" applyAlignment="1">
      <alignment horizontal="center" vertical="center" wrapText="1"/>
    </xf>
    <xf numFmtId="0" fontId="21"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quotePrefix="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pplyProtection="1">
      <alignment horizontal="center" vertical="center" wrapText="1"/>
      <protection locked="0"/>
    </xf>
    <xf numFmtId="3" fontId="0" fillId="0" borderId="1" xfId="0" applyNumberFormat="1" applyBorder="1" applyAlignment="1" applyProtection="1">
      <alignment horizontal="center" vertical="center" wrapText="1"/>
      <protection locked="0"/>
    </xf>
    <xf numFmtId="0" fontId="0" fillId="0" borderId="1" xfId="0" quotePrefix="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quotePrefix="1" applyBorder="1" applyAlignment="1">
      <alignment horizontal="center" vertical="center"/>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33" fillId="0" borderId="0" xfId="0" applyFont="1" applyAlignment="1">
      <alignment horizontal="center" vertical="center"/>
    </xf>
    <xf numFmtId="0" fontId="6" fillId="0" borderId="1" xfId="0" applyFont="1" applyBorder="1" applyAlignment="1">
      <alignment horizontal="center" vertical="center"/>
    </xf>
    <xf numFmtId="165" fontId="0" fillId="0" borderId="1" xfId="0" applyNumberFormat="1" applyBorder="1" applyAlignment="1" applyProtection="1">
      <alignment horizontal="center" vertical="center"/>
      <protection locked="0"/>
    </xf>
    <xf numFmtId="0" fontId="0" fillId="22" borderId="1" xfId="0" applyFill="1" applyBorder="1" applyAlignment="1">
      <alignment horizontal="center" vertical="center"/>
    </xf>
    <xf numFmtId="0" fontId="0" fillId="22" borderId="1" xfId="0" applyFill="1" applyBorder="1" applyAlignment="1">
      <alignment vertical="center" wrapText="1"/>
    </xf>
    <xf numFmtId="0" fontId="0" fillId="46" borderId="1" xfId="0" applyFill="1" applyBorder="1" applyAlignment="1">
      <alignment horizontal="center" vertical="center"/>
    </xf>
    <xf numFmtId="0" fontId="0" fillId="46" borderId="1" xfId="0" applyFill="1" applyBorder="1" applyAlignment="1" applyProtection="1">
      <alignment horizontal="center" vertical="center"/>
      <protection locked="0"/>
    </xf>
    <xf numFmtId="0" fontId="0" fillId="46" borderId="1" xfId="0" quotePrefix="1" applyFill="1" applyBorder="1" applyAlignment="1">
      <alignment horizontal="center" vertical="center"/>
    </xf>
    <xf numFmtId="0" fontId="0" fillId="46" borderId="1" xfId="0" applyFill="1" applyBorder="1" applyAlignment="1">
      <alignment horizontal="center" vertical="center" wrapText="1"/>
    </xf>
    <xf numFmtId="0" fontId="33" fillId="0" borderId="0" xfId="0" applyFont="1" applyAlignment="1">
      <alignment horizontal="left" vertical="center"/>
    </xf>
    <xf numFmtId="0" fontId="33" fillId="0" borderId="0" xfId="0" applyFont="1" applyAlignment="1">
      <alignment vertical="center"/>
    </xf>
    <xf numFmtId="0" fontId="32" fillId="0" borderId="0" xfId="0" applyFont="1" applyAlignment="1">
      <alignment vertical="center"/>
    </xf>
    <xf numFmtId="0" fontId="32" fillId="0" borderId="0" xfId="0" applyFont="1"/>
    <xf numFmtId="0" fontId="32" fillId="0" borderId="0" xfId="0" applyFont="1" applyAlignment="1">
      <alignment horizontal="center"/>
    </xf>
    <xf numFmtId="49" fontId="0" fillId="0" borderId="0" xfId="0" applyNumberFormat="1" applyAlignment="1">
      <alignment horizontal="center" vertical="center"/>
    </xf>
    <xf numFmtId="49" fontId="0" fillId="0" borderId="0" xfId="0" applyNumberFormat="1" applyAlignment="1">
      <alignment horizontal="left" vertical="center"/>
    </xf>
    <xf numFmtId="0" fontId="33" fillId="0" borderId="0" xfId="0" applyFont="1" applyAlignment="1">
      <alignment horizontal="center"/>
    </xf>
    <xf numFmtId="0" fontId="0" fillId="12" borderId="1" xfId="0" applyFill="1" applyBorder="1"/>
    <xf numFmtId="0" fontId="21" fillId="0" borderId="1" xfId="0" applyFont="1" applyBorder="1"/>
    <xf numFmtId="0" fontId="0" fillId="11" borderId="1" xfId="0" applyFill="1" applyBorder="1"/>
    <xf numFmtId="0" fontId="0" fillId="47" borderId="1" xfId="0" applyFill="1" applyBorder="1" applyAlignment="1">
      <alignment horizontal="center" vertical="center" wrapText="1"/>
    </xf>
    <xf numFmtId="0" fontId="0" fillId="21" borderId="7" xfId="0" applyFill="1" applyBorder="1" applyAlignment="1" applyProtection="1">
      <alignment horizontal="left" vertical="center"/>
      <protection locked="0"/>
    </xf>
    <xf numFmtId="0" fontId="0" fillId="21" borderId="7" xfId="0" applyFill="1" applyBorder="1" applyAlignment="1" applyProtection="1">
      <alignment horizontal="center"/>
      <protection locked="0"/>
    </xf>
    <xf numFmtId="0" fontId="0" fillId="15" borderId="7" xfId="0" applyFill="1" applyBorder="1" applyAlignment="1" applyProtection="1">
      <alignment horizontal="left" vertical="center"/>
      <protection locked="0"/>
    </xf>
    <xf numFmtId="0" fontId="0" fillId="15" borderId="7" xfId="0" applyFill="1" applyBorder="1" applyAlignment="1" applyProtection="1">
      <alignment horizontal="center"/>
      <protection locked="0"/>
    </xf>
    <xf numFmtId="0" fontId="0" fillId="48" borderId="7" xfId="0" applyFill="1" applyBorder="1" applyAlignment="1" applyProtection="1">
      <alignment horizontal="left" vertical="center"/>
      <protection locked="0"/>
    </xf>
    <xf numFmtId="0" fontId="0" fillId="48" borderId="7" xfId="0" applyFill="1" applyBorder="1" applyAlignment="1" applyProtection="1">
      <alignment horizontal="center"/>
      <protection locked="0"/>
    </xf>
    <xf numFmtId="0" fontId="0" fillId="30" borderId="7" xfId="0" applyFill="1" applyBorder="1" applyAlignment="1" applyProtection="1">
      <alignment horizontal="left" vertical="center"/>
      <protection locked="0"/>
    </xf>
    <xf numFmtId="0" fontId="0" fillId="30" borderId="7" xfId="0" applyFill="1" applyBorder="1" applyAlignment="1" applyProtection="1">
      <alignment horizontal="center"/>
      <protection locked="0"/>
    </xf>
    <xf numFmtId="0" fontId="0" fillId="27" borderId="7" xfId="0" applyFill="1" applyBorder="1" applyAlignment="1" applyProtection="1">
      <alignment horizontal="left" vertical="center"/>
      <protection locked="0"/>
    </xf>
    <xf numFmtId="0" fontId="0" fillId="27" borderId="7" xfId="0" applyFill="1" applyBorder="1" applyAlignment="1" applyProtection="1">
      <alignment horizontal="center"/>
      <protection locked="0"/>
    </xf>
    <xf numFmtId="0" fontId="31" fillId="49" borderId="7" xfId="0" applyFont="1" applyFill="1" applyBorder="1" applyAlignment="1">
      <alignment horizontal="center"/>
    </xf>
    <xf numFmtId="0" fontId="31" fillId="49" borderId="7" xfId="0" applyFont="1" applyFill="1" applyBorder="1"/>
    <xf numFmtId="0" fontId="0" fillId="0" borderId="7" xfId="0" applyBorder="1" applyAlignment="1" applyProtection="1">
      <alignment horizontal="left" vertical="center"/>
      <protection locked="0"/>
    </xf>
    <xf numFmtId="0" fontId="0" fillId="0" borderId="7" xfId="0" applyBorder="1" applyAlignment="1" applyProtection="1">
      <alignment horizontal="center"/>
      <protection locked="0"/>
    </xf>
    <xf numFmtId="0" fontId="31" fillId="49" borderId="7" xfId="0" applyFont="1" applyFill="1" applyBorder="1" applyAlignment="1">
      <alignment horizontal="center" vertical="center"/>
    </xf>
    <xf numFmtId="49" fontId="24" fillId="0" borderId="0" xfId="0" applyNumberFormat="1" applyFont="1" applyAlignment="1">
      <alignment horizontal="center" vertical="center"/>
    </xf>
    <xf numFmtId="0" fontId="25" fillId="0" borderId="0" xfId="0" applyFont="1" applyAlignment="1">
      <alignment vertical="center"/>
    </xf>
    <xf numFmtId="0" fontId="0" fillId="12" borderId="1" xfId="0" applyFill="1" applyBorder="1" applyAlignment="1">
      <alignment horizontal="center" vertical="center" wrapText="1"/>
    </xf>
    <xf numFmtId="0" fontId="6" fillId="18" borderId="1" xfId="0" applyFont="1" applyFill="1" applyBorder="1" applyAlignment="1">
      <alignment horizontal="center" vertical="center" wrapText="1"/>
    </xf>
    <xf numFmtId="0" fontId="23" fillId="10" borderId="0" xfId="0" applyFont="1" applyFill="1" applyAlignment="1">
      <alignment horizontal="left" vertical="center" wrapText="1"/>
    </xf>
    <xf numFmtId="0" fontId="21" fillId="0" borderId="0" xfId="0" applyFont="1" applyAlignment="1">
      <alignment horizontal="left" vertical="center" wrapText="1"/>
    </xf>
    <xf numFmtId="0" fontId="34" fillId="0" borderId="0" xfId="0" applyFont="1" applyAlignment="1">
      <alignment horizontal="center" vertical="center"/>
    </xf>
    <xf numFmtId="0" fontId="35" fillId="0" borderId="0" xfId="0" applyFont="1"/>
    <xf numFmtId="0" fontId="0" fillId="50" borderId="1" xfId="0" applyFill="1" applyBorder="1" applyAlignment="1">
      <alignment horizontal="center" vertical="center" wrapText="1"/>
    </xf>
    <xf numFmtId="0" fontId="23" fillId="10" borderId="0" xfId="0" applyFont="1" applyFill="1" applyAlignment="1">
      <alignment horizontal="left" vertical="center"/>
    </xf>
    <xf numFmtId="0" fontId="6" fillId="10" borderId="0" xfId="0" applyFont="1" applyFill="1" applyAlignment="1">
      <alignment horizontal="center"/>
    </xf>
    <xf numFmtId="0" fontId="36" fillId="0" borderId="0" xfId="0" applyFont="1" applyAlignment="1" applyProtection="1">
      <alignment horizontal="center" vertical="center"/>
      <protection locked="0"/>
    </xf>
    <xf numFmtId="0" fontId="0" fillId="51" borderId="1" xfId="0" applyFill="1" applyBorder="1" applyAlignment="1">
      <alignment horizontal="center" vertical="center"/>
    </xf>
    <xf numFmtId="0" fontId="0" fillId="51" borderId="1" xfId="0" applyFill="1" applyBorder="1" applyAlignment="1">
      <alignment vertical="center" wrapText="1"/>
    </xf>
    <xf numFmtId="0" fontId="0" fillId="51" borderId="1" xfId="0" applyFill="1" applyBorder="1" applyAlignment="1">
      <alignment horizontal="center" vertical="center" wrapText="1"/>
    </xf>
    <xf numFmtId="0" fontId="0" fillId="12" borderId="1" xfId="0" applyFill="1" applyBorder="1" applyAlignment="1">
      <alignment horizontal="center" vertical="center"/>
    </xf>
    <xf numFmtId="0" fontId="0" fillId="33" borderId="1" xfId="0" applyFill="1" applyBorder="1" applyAlignment="1">
      <alignment horizontal="center" vertical="center"/>
    </xf>
    <xf numFmtId="0" fontId="0" fillId="52" borderId="1" xfId="0" applyFill="1" applyBorder="1" applyAlignment="1">
      <alignment horizontal="center" vertical="center"/>
    </xf>
    <xf numFmtId="0" fontId="0" fillId="53" borderId="1" xfId="0" applyFill="1" applyBorder="1" applyAlignment="1">
      <alignment vertical="center" wrapText="1"/>
    </xf>
    <xf numFmtId="0" fontId="18" fillId="54" borderId="0" xfId="0" applyFont="1" applyFill="1" applyAlignment="1">
      <alignment horizontal="center" vertical="center" wrapText="1"/>
    </xf>
    <xf numFmtId="0" fontId="0" fillId="54" borderId="0" xfId="0" applyFill="1" applyAlignment="1">
      <alignment horizontal="left" vertical="center" wrapText="1"/>
    </xf>
    <xf numFmtId="3" fontId="4" fillId="12" borderId="1" xfId="0" applyNumberFormat="1" applyFont="1" applyFill="1" applyBorder="1" applyAlignment="1">
      <alignment horizontal="center" vertical="center" wrapText="1"/>
    </xf>
    <xf numFmtId="0" fontId="0" fillId="54" borderId="0" xfId="0" applyFill="1" applyAlignment="1">
      <alignment horizontal="left" vertical="center"/>
    </xf>
    <xf numFmtId="0" fontId="0" fillId="55" borderId="0" xfId="0" applyFill="1" applyAlignment="1">
      <alignment horizontal="left" vertical="center" wrapText="1"/>
    </xf>
    <xf numFmtId="4" fontId="0" fillId="0" borderId="1" xfId="0" applyNumberFormat="1" applyBorder="1" applyAlignment="1" applyProtection="1">
      <alignment horizontal="center" vertical="center" wrapText="1"/>
      <protection locked="0"/>
    </xf>
    <xf numFmtId="0" fontId="19" fillId="0" borderId="4" xfId="0" applyFont="1" applyBorder="1" applyAlignment="1">
      <alignment horizontal="left" vertical="center" wrapText="1"/>
    </xf>
    <xf numFmtId="0" fontId="19" fillId="0" borderId="7" xfId="0" applyFont="1" applyBorder="1" applyAlignment="1">
      <alignment horizontal="left" vertical="center" wrapText="1"/>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center"/>
    </xf>
    <xf numFmtId="0" fontId="19" fillId="0" borderId="1" xfId="0" applyFont="1" applyBorder="1" applyAlignment="1">
      <alignment horizontal="left" vertical="center"/>
    </xf>
    <xf numFmtId="0" fontId="19" fillId="0" borderId="0" xfId="0" applyFont="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7" fillId="0" borderId="11" xfId="0" applyFont="1" applyBorder="1" applyAlignment="1">
      <alignment horizontal="center" vertical="center" wrapText="1"/>
    </xf>
    <xf numFmtId="0" fontId="37" fillId="0" borderId="0" xfId="0" applyFont="1" applyAlignment="1">
      <alignment horizontal="center" vertical="center" wrapText="1"/>
    </xf>
    <xf numFmtId="0" fontId="37" fillId="0" borderId="12" xfId="0" applyFont="1" applyBorder="1" applyAlignment="1">
      <alignment horizontal="center" vertical="center" wrapText="1"/>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12" xfId="0" applyFont="1" applyBorder="1" applyAlignment="1">
      <alignment horizontal="center"/>
    </xf>
    <xf numFmtId="0" fontId="11" fillId="7" borderId="10" xfId="0" applyFont="1" applyFill="1" applyBorder="1" applyAlignment="1">
      <alignment horizontal="left" vertical="center" wrapText="1"/>
    </xf>
    <xf numFmtId="0" fontId="11" fillId="7" borderId="9" xfId="0" applyFont="1" applyFill="1" applyBorder="1" applyAlignment="1">
      <alignment horizontal="left" vertical="center" wrapText="1"/>
    </xf>
    <xf numFmtId="3" fontId="4" fillId="9" borderId="2" xfId="0" applyNumberFormat="1" applyFont="1" applyFill="1" applyBorder="1" applyAlignment="1" applyProtection="1">
      <alignment horizontal="center" vertical="center" wrapText="1"/>
      <protection locked="0"/>
    </xf>
    <xf numFmtId="3" fontId="4" fillId="9" borderId="6" xfId="0" applyNumberFormat="1" applyFont="1" applyFill="1" applyBorder="1" applyAlignment="1" applyProtection="1">
      <alignment horizontal="center" vertical="center" wrapText="1"/>
      <protection locked="0"/>
    </xf>
    <xf numFmtId="3" fontId="4" fillId="9" borderId="3" xfId="0" applyNumberFormat="1" applyFont="1" applyFill="1" applyBorder="1" applyAlignment="1" applyProtection="1">
      <alignment horizontal="center" vertical="center" wrapText="1"/>
      <protection locked="0"/>
    </xf>
    <xf numFmtId="3" fontId="4" fillId="5" borderId="1" xfId="0" applyNumberFormat="1" applyFont="1" applyFill="1" applyBorder="1" applyAlignment="1" applyProtection="1">
      <alignment horizontal="center" vertical="center" wrapText="1"/>
      <protection locked="0"/>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0" fontId="11" fillId="7" borderId="7" xfId="0" applyFont="1" applyFill="1" applyBorder="1" applyAlignment="1">
      <alignment horizontal="left" vertical="center" wrapText="1"/>
    </xf>
    <xf numFmtId="0" fontId="11" fillId="7" borderId="5" xfId="0" applyFont="1" applyFill="1" applyBorder="1" applyAlignment="1">
      <alignment horizontal="left" vertical="center" wrapText="1"/>
    </xf>
    <xf numFmtId="3" fontId="4" fillId="4" borderId="6" xfId="0" applyNumberFormat="1" applyFont="1" applyFill="1" applyBorder="1" applyAlignment="1">
      <alignment horizontal="center" vertical="center" wrapText="1"/>
    </xf>
    <xf numFmtId="3" fontId="4" fillId="4" borderId="1" xfId="0" applyNumberFormat="1" applyFont="1" applyFill="1" applyBorder="1" applyAlignment="1" applyProtection="1">
      <alignment horizontal="center" vertical="center" wrapText="1"/>
      <protection locked="0"/>
    </xf>
    <xf numFmtId="3" fontId="4" fillId="4" borderId="2" xfId="0" applyNumberFormat="1" applyFont="1" applyFill="1" applyBorder="1" applyAlignment="1" applyProtection="1">
      <alignment horizontal="center" vertical="center" wrapText="1"/>
      <protection locked="0"/>
    </xf>
    <xf numFmtId="3" fontId="4" fillId="4" borderId="6" xfId="0" applyNumberFormat="1" applyFont="1" applyFill="1" applyBorder="1" applyAlignment="1" applyProtection="1">
      <alignment horizontal="center" vertical="center" wrapText="1"/>
      <protection locked="0"/>
    </xf>
    <xf numFmtId="3" fontId="4" fillId="4" borderId="3" xfId="0" applyNumberFormat="1"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5" xfId="0"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3" borderId="2"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3" xfId="0" applyFont="1" applyFill="1" applyBorder="1" applyAlignment="1">
      <alignment horizontal="left" vertical="top" wrapText="1"/>
    </xf>
    <xf numFmtId="3" fontId="4" fillId="3" borderId="1" xfId="0" applyNumberFormat="1" applyFont="1" applyFill="1" applyBorder="1" applyAlignment="1">
      <alignment horizontal="center" vertical="center" wrapText="1"/>
    </xf>
    <xf numFmtId="3" fontId="4" fillId="0" borderId="3" xfId="0" applyNumberFormat="1"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center"/>
    </xf>
    <xf numFmtId="0" fontId="2" fillId="8" borderId="1" xfId="0" applyFont="1" applyFill="1" applyBorder="1" applyAlignment="1">
      <alignment horizontal="center" vertical="center"/>
    </xf>
    <xf numFmtId="0" fontId="2" fillId="56" borderId="1"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wrapText="1"/>
    </xf>
    <xf numFmtId="3" fontId="4" fillId="7" borderId="2" xfId="0" applyNumberFormat="1" applyFont="1" applyFill="1" applyBorder="1" applyAlignment="1" applyProtection="1">
      <alignment horizontal="center" vertical="center" wrapText="1"/>
      <protection locked="0"/>
    </xf>
    <xf numFmtId="3" fontId="4" fillId="7" borderId="6" xfId="0" applyNumberFormat="1" applyFont="1" applyFill="1" applyBorder="1" applyAlignment="1" applyProtection="1">
      <alignment horizontal="center" vertical="center" wrapText="1"/>
      <protection locked="0"/>
    </xf>
    <xf numFmtId="3" fontId="4" fillId="7" borderId="3" xfId="0" applyNumberFormat="1" applyFont="1" applyFill="1" applyBorder="1" applyAlignment="1" applyProtection="1">
      <alignment horizontal="center" vertical="center" wrapText="1"/>
      <protection locked="0"/>
    </xf>
    <xf numFmtId="3" fontId="4" fillId="5" borderId="2" xfId="0" applyNumberFormat="1" applyFont="1" applyFill="1" applyBorder="1" applyAlignment="1" applyProtection="1">
      <alignment horizontal="center" vertical="center" wrapText="1"/>
      <protection locked="0"/>
    </xf>
    <xf numFmtId="3" fontId="4" fillId="5" borderId="6" xfId="0" applyNumberFormat="1" applyFont="1" applyFill="1" applyBorder="1" applyAlignment="1" applyProtection="1">
      <alignment horizontal="center" vertical="center" wrapText="1"/>
      <protection locked="0"/>
    </xf>
    <xf numFmtId="3" fontId="4" fillId="5" borderId="3" xfId="0" applyNumberFormat="1" applyFont="1" applyFill="1" applyBorder="1" applyAlignment="1" applyProtection="1">
      <alignment horizontal="center" vertical="center" wrapText="1"/>
      <protection locked="0"/>
    </xf>
    <xf numFmtId="0" fontId="5" fillId="4" borderId="7"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3" fontId="4" fillId="9" borderId="1" xfId="0" applyNumberFormat="1" applyFont="1" applyFill="1" applyBorder="1" applyAlignment="1" applyProtection="1">
      <alignment horizontal="center" vertical="center" wrapText="1"/>
      <protection locked="0"/>
    </xf>
    <xf numFmtId="0" fontId="2" fillId="4" borderId="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5" xfId="0" applyFont="1" applyFill="1" applyBorder="1" applyAlignment="1">
      <alignment horizontal="center" vertical="center" wrapText="1"/>
    </xf>
    <xf numFmtId="3" fontId="4" fillId="6" borderId="2" xfId="0" applyNumberFormat="1" applyFont="1" applyFill="1" applyBorder="1" applyAlignment="1" applyProtection="1">
      <alignment horizontal="center" vertical="center" wrapText="1"/>
      <protection locked="0"/>
    </xf>
    <xf numFmtId="3" fontId="4" fillId="6" borderId="6" xfId="0" applyNumberFormat="1" applyFont="1" applyFill="1" applyBorder="1" applyAlignment="1" applyProtection="1">
      <alignment horizontal="center" vertical="center" wrapText="1"/>
      <protection locked="0"/>
    </xf>
    <xf numFmtId="3" fontId="4" fillId="6" borderId="3" xfId="0" applyNumberFormat="1" applyFont="1" applyFill="1" applyBorder="1" applyAlignment="1" applyProtection="1">
      <alignment horizontal="center" vertical="center" wrapText="1"/>
      <protection locked="0"/>
    </xf>
    <xf numFmtId="0" fontId="6" fillId="16" borderId="1" xfId="0" applyFont="1" applyFill="1" applyBorder="1" applyAlignment="1">
      <alignment horizontal="center" vertical="center" wrapText="1"/>
    </xf>
    <xf numFmtId="0" fontId="0" fillId="0" borderId="1" xfId="0" applyBorder="1" applyAlignment="1">
      <alignment wrapText="1"/>
    </xf>
    <xf numFmtId="0" fontId="6" fillId="16" borderId="1" xfId="0" applyFont="1" applyFill="1" applyBorder="1" applyAlignment="1">
      <alignment horizontal="center" vertical="center"/>
    </xf>
    <xf numFmtId="0" fontId="0" fillId="0" borderId="1" xfId="0" applyBorder="1"/>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2" fillId="9" borderId="4"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6" fillId="35" borderId="1" xfId="0" applyFont="1" applyFill="1" applyBorder="1" applyAlignment="1">
      <alignment horizontal="center" vertical="center"/>
    </xf>
    <xf numFmtId="0" fontId="6" fillId="43" borderId="1" xfId="0" applyFont="1" applyFill="1" applyBorder="1" applyAlignment="1">
      <alignment horizontal="center" vertical="center"/>
    </xf>
    <xf numFmtId="0" fontId="6" fillId="41" borderId="1" xfId="0" applyFont="1" applyFill="1" applyBorder="1" applyAlignment="1">
      <alignment horizontal="center" vertical="center"/>
    </xf>
    <xf numFmtId="0" fontId="6" fillId="36" borderId="1" xfId="0" applyFont="1" applyFill="1" applyBorder="1" applyAlignment="1">
      <alignment horizontal="center" vertical="center"/>
    </xf>
    <xf numFmtId="0" fontId="6" fillId="39" borderId="1" xfId="0" applyFont="1" applyFill="1" applyBorder="1" applyAlignment="1">
      <alignment horizontal="center" vertical="center"/>
    </xf>
    <xf numFmtId="3" fontId="38" fillId="12" borderId="0" xfId="0" applyNumberFormat="1" applyFont="1" applyFill="1" applyAlignment="1" applyProtection="1">
      <alignment horizontal="center" vertical="center"/>
      <protection locked="0"/>
    </xf>
    <xf numFmtId="3" fontId="16" fillId="57" borderId="4" xfId="0" applyNumberFormat="1" applyFont="1" applyFill="1" applyBorder="1" applyAlignment="1" applyProtection="1">
      <alignment horizontal="center" vertical="center" wrapText="1"/>
      <protection locked="0"/>
    </xf>
    <xf numFmtId="3" fontId="16" fillId="57" borderId="7" xfId="0" applyNumberFormat="1" applyFont="1" applyFill="1" applyBorder="1" applyAlignment="1" applyProtection="1">
      <alignment horizontal="center" vertical="center" wrapText="1"/>
      <protection locked="0"/>
    </xf>
    <xf numFmtId="3" fontId="16" fillId="57" borderId="5"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workbookViewId="0">
      <selection activeCell="A4" sqref="A4:L4"/>
    </sheetView>
  </sheetViews>
  <sheetFormatPr defaultColWidth="8.85546875" defaultRowHeight="15" x14ac:dyDescent="0.25"/>
  <cols>
    <col min="1" max="1" width="4.85546875" style="77" customWidth="1"/>
    <col min="2" max="2" width="26.5703125" style="77" customWidth="1"/>
    <col min="3" max="12" width="5.7109375" style="77" customWidth="1"/>
    <col min="13" max="13" width="8.85546875" style="77"/>
  </cols>
  <sheetData>
    <row r="1" spans="1:12" ht="20.85" customHeight="1" x14ac:dyDescent="0.25">
      <c r="B1" s="78" t="s">
        <v>0</v>
      </c>
      <c r="C1" s="79">
        <v>7</v>
      </c>
      <c r="D1" s="79">
        <v>3</v>
      </c>
      <c r="E1" s="79">
        <v>0</v>
      </c>
      <c r="F1" s="79">
        <v>2</v>
      </c>
      <c r="G1" s="79">
        <v>0</v>
      </c>
      <c r="H1" s="79">
        <v>3</v>
      </c>
      <c r="I1" s="79">
        <v>2</v>
      </c>
      <c r="J1" s="79">
        <v>0</v>
      </c>
      <c r="K1" s="79">
        <v>0</v>
      </c>
      <c r="L1" s="79">
        <v>5</v>
      </c>
    </row>
    <row r="2" spans="1:12" ht="20.85" customHeight="1" x14ac:dyDescent="0.25"/>
    <row r="3" spans="1:12" ht="20.85" customHeight="1" x14ac:dyDescent="0.25">
      <c r="A3" s="484" t="s">
        <v>1</v>
      </c>
      <c r="B3" s="484"/>
      <c r="C3" s="484"/>
      <c r="D3" s="484"/>
      <c r="E3" s="484"/>
      <c r="F3" s="484"/>
      <c r="G3" s="484"/>
      <c r="H3" s="484"/>
      <c r="I3" s="484"/>
      <c r="J3" s="484"/>
      <c r="K3" s="484"/>
      <c r="L3" s="484"/>
    </row>
    <row r="4" spans="1:12" ht="20.85" customHeight="1" x14ac:dyDescent="0.25">
      <c r="A4" s="484" t="s">
        <v>2</v>
      </c>
      <c r="B4" s="484"/>
      <c r="C4" s="484"/>
      <c r="D4" s="484"/>
      <c r="E4" s="484"/>
      <c r="F4" s="484"/>
      <c r="G4" s="484"/>
      <c r="H4" s="484"/>
      <c r="I4" s="484"/>
      <c r="J4" s="484"/>
      <c r="K4" s="484"/>
      <c r="L4" s="484"/>
    </row>
    <row r="5" spans="1:12" ht="20.85" customHeight="1" x14ac:dyDescent="0.25"/>
    <row r="6" spans="1:12" ht="20.85" customHeight="1" x14ac:dyDescent="0.25">
      <c r="A6" s="485" t="s">
        <v>3</v>
      </c>
      <c r="B6" s="486"/>
      <c r="C6" s="486"/>
      <c r="D6" s="486"/>
      <c r="E6" s="486"/>
      <c r="F6" s="486"/>
      <c r="G6" s="486"/>
      <c r="H6" s="486"/>
      <c r="I6" s="486"/>
      <c r="J6" s="486"/>
      <c r="K6" s="486"/>
      <c r="L6" s="487"/>
    </row>
    <row r="7" spans="1:12" ht="70.900000000000006" customHeight="1" x14ac:dyDescent="0.25">
      <c r="A7" s="488" t="s">
        <v>4</v>
      </c>
      <c r="B7" s="489"/>
      <c r="C7" s="489"/>
      <c r="D7" s="489"/>
      <c r="E7" s="489"/>
      <c r="F7" s="489"/>
      <c r="G7" s="489"/>
      <c r="H7" s="489"/>
      <c r="I7" s="489"/>
      <c r="J7" s="489"/>
      <c r="K7" s="489"/>
      <c r="L7" s="490"/>
    </row>
    <row r="8" spans="1:12" ht="46.15" customHeight="1" x14ac:dyDescent="0.25">
      <c r="A8" s="488" t="s">
        <v>5</v>
      </c>
      <c r="B8" s="489"/>
      <c r="C8" s="489"/>
      <c r="D8" s="489"/>
      <c r="E8" s="489"/>
      <c r="F8" s="489"/>
      <c r="G8" s="489"/>
      <c r="H8" s="489"/>
      <c r="I8" s="489"/>
      <c r="J8" s="489"/>
      <c r="K8" s="489"/>
      <c r="L8" s="490"/>
    </row>
    <row r="9" spans="1:12" ht="27.6" customHeight="1" x14ac:dyDescent="0.25">
      <c r="A9" s="491" t="s">
        <v>6</v>
      </c>
      <c r="B9" s="481"/>
      <c r="C9" s="481"/>
      <c r="D9" s="481"/>
      <c r="E9" s="481"/>
      <c r="F9" s="481"/>
      <c r="G9" s="481"/>
      <c r="H9" s="481"/>
      <c r="I9" s="481"/>
      <c r="J9" s="481"/>
      <c r="K9" s="481"/>
      <c r="L9" s="492"/>
    </row>
    <row r="10" spans="1:12" ht="32.450000000000003" customHeight="1" x14ac:dyDescent="0.25">
      <c r="A10" s="493" t="s">
        <v>7</v>
      </c>
      <c r="B10" s="494"/>
      <c r="C10" s="494"/>
      <c r="D10" s="494"/>
      <c r="E10" s="494"/>
      <c r="F10" s="494"/>
      <c r="G10" s="494"/>
      <c r="H10" s="494"/>
      <c r="I10" s="494"/>
      <c r="J10" s="494"/>
      <c r="K10" s="494"/>
      <c r="L10" s="495"/>
    </row>
    <row r="11" spans="1:12" ht="10.15" customHeight="1" x14ac:dyDescent="0.25">
      <c r="A11" s="80"/>
      <c r="L11" s="81"/>
    </row>
    <row r="12" spans="1:12" ht="20.85" customHeight="1" x14ac:dyDescent="0.25">
      <c r="A12" s="80"/>
      <c r="B12" s="496" t="s">
        <v>8</v>
      </c>
      <c r="C12" s="497"/>
      <c r="D12" s="497"/>
      <c r="E12" s="497"/>
      <c r="F12" s="497"/>
      <c r="G12" s="497"/>
      <c r="H12" s="497"/>
      <c r="I12" s="497"/>
      <c r="J12" s="497"/>
      <c r="K12" s="498"/>
      <c r="L12" s="81"/>
    </row>
    <row r="13" spans="1:12" ht="20.85" customHeight="1" x14ac:dyDescent="0.25">
      <c r="A13" s="80"/>
      <c r="B13" s="491" t="s">
        <v>9</v>
      </c>
      <c r="C13" s="481"/>
      <c r="D13" s="481"/>
      <c r="E13" s="481"/>
      <c r="F13" s="481"/>
      <c r="G13" s="481"/>
      <c r="H13" s="481"/>
      <c r="I13" s="481"/>
      <c r="J13" s="481"/>
      <c r="K13" s="492"/>
      <c r="L13" s="81"/>
    </row>
    <row r="14" spans="1:12" ht="20.85" customHeight="1" x14ac:dyDescent="0.25">
      <c r="A14" s="80"/>
      <c r="B14" s="80"/>
      <c r="K14" s="81"/>
      <c r="L14" s="81"/>
    </row>
    <row r="15" spans="1:12" ht="20.85" customHeight="1" x14ac:dyDescent="0.25">
      <c r="A15" s="80"/>
      <c r="B15" s="80"/>
      <c r="F15" s="481" t="s">
        <v>10</v>
      </c>
      <c r="G15" s="481"/>
      <c r="H15" s="481"/>
      <c r="I15" s="481"/>
      <c r="J15" s="481"/>
      <c r="K15" s="492"/>
      <c r="L15" s="81"/>
    </row>
    <row r="16" spans="1:12" ht="20.85" customHeight="1" x14ac:dyDescent="0.25">
      <c r="A16" s="80"/>
      <c r="B16" s="80"/>
      <c r="K16" s="81"/>
      <c r="L16" s="81"/>
    </row>
    <row r="17" spans="1:12" ht="20.85" customHeight="1" x14ac:dyDescent="0.25">
      <c r="A17" s="80"/>
      <c r="B17" s="80"/>
      <c r="K17" s="81"/>
      <c r="L17" s="81"/>
    </row>
    <row r="18" spans="1:12" ht="20.85" customHeight="1" x14ac:dyDescent="0.25">
      <c r="A18" s="80"/>
      <c r="B18" s="80"/>
      <c r="K18" s="81"/>
      <c r="L18" s="81"/>
    </row>
    <row r="19" spans="1:12" ht="20.85" customHeight="1" x14ac:dyDescent="0.25">
      <c r="A19" s="80"/>
      <c r="B19" s="80"/>
      <c r="F19" s="482" t="s">
        <v>11</v>
      </c>
      <c r="G19" s="482"/>
      <c r="H19" s="482"/>
      <c r="I19" s="482"/>
      <c r="J19" s="482"/>
      <c r="K19" s="499"/>
      <c r="L19" s="81"/>
    </row>
    <row r="20" spans="1:12" ht="10.9" customHeight="1" x14ac:dyDescent="0.25">
      <c r="A20" s="80"/>
      <c r="B20" s="82"/>
      <c r="C20" s="83"/>
      <c r="D20" s="83"/>
      <c r="E20" s="83"/>
      <c r="F20" s="83"/>
      <c r="G20" s="83"/>
      <c r="H20" s="83"/>
      <c r="I20" s="83"/>
      <c r="J20" s="83"/>
      <c r="K20" s="84"/>
      <c r="L20" s="81"/>
    </row>
    <row r="21" spans="1:12" ht="11.45" customHeight="1" x14ac:dyDescent="0.25">
      <c r="A21" s="80"/>
      <c r="L21" s="81"/>
    </row>
    <row r="22" spans="1:12" ht="20.85" customHeight="1" x14ac:dyDescent="0.25">
      <c r="A22" s="85" t="s">
        <v>12</v>
      </c>
      <c r="B22" s="83"/>
      <c r="C22" s="83"/>
      <c r="D22" s="83"/>
      <c r="E22" s="83"/>
      <c r="F22" s="83"/>
      <c r="G22" s="83"/>
      <c r="H22" s="83"/>
      <c r="I22" s="83"/>
      <c r="J22" s="83"/>
      <c r="K22" s="83"/>
      <c r="L22" s="84"/>
    </row>
    <row r="23" spans="1:12" ht="20.85" customHeight="1" x14ac:dyDescent="0.25"/>
    <row r="24" spans="1:12" ht="20.85" customHeight="1" x14ac:dyDescent="0.25">
      <c r="A24" s="483" t="s">
        <v>13</v>
      </c>
      <c r="B24" s="483"/>
      <c r="C24" s="483"/>
      <c r="D24" s="483"/>
      <c r="E24" s="483"/>
      <c r="F24" s="483"/>
      <c r="G24" s="483"/>
      <c r="H24" s="483"/>
      <c r="I24" s="483"/>
      <c r="J24" s="483"/>
      <c r="K24" s="483"/>
      <c r="L24" s="483"/>
    </row>
    <row r="25" spans="1:12" ht="20.85" customHeight="1" x14ac:dyDescent="0.25">
      <c r="A25" s="86" t="s">
        <v>14</v>
      </c>
      <c r="B25" s="87" t="s">
        <v>15</v>
      </c>
      <c r="C25" s="477" t="s">
        <v>16</v>
      </c>
      <c r="D25" s="478"/>
      <c r="E25" s="478"/>
      <c r="F25" s="478"/>
      <c r="G25" s="478"/>
      <c r="H25" s="478"/>
      <c r="I25" s="478"/>
      <c r="J25" s="478"/>
      <c r="K25" s="478"/>
      <c r="L25" s="479"/>
    </row>
    <row r="26" spans="1:12" ht="20.85" customHeight="1" x14ac:dyDescent="0.25">
      <c r="A26" s="86" t="s">
        <v>17</v>
      </c>
      <c r="B26" s="87" t="s">
        <v>18</v>
      </c>
      <c r="C26" s="480" t="s">
        <v>19</v>
      </c>
      <c r="D26" s="480"/>
      <c r="E26" s="480"/>
      <c r="F26" s="480"/>
      <c r="G26" s="480"/>
      <c r="H26" s="480"/>
      <c r="I26" s="480"/>
      <c r="J26" s="480"/>
      <c r="K26" s="480"/>
      <c r="L26" s="480"/>
    </row>
    <row r="27" spans="1:12" ht="20.85" customHeight="1" x14ac:dyDescent="0.25">
      <c r="A27" s="86" t="s">
        <v>20</v>
      </c>
      <c r="B27" s="87" t="s">
        <v>21</v>
      </c>
      <c r="C27" s="480">
        <v>85656184031</v>
      </c>
      <c r="D27" s="480"/>
      <c r="E27" s="480"/>
      <c r="F27" s="480"/>
      <c r="G27" s="480"/>
      <c r="H27" s="480"/>
      <c r="I27" s="480"/>
      <c r="J27" s="480"/>
      <c r="K27" s="480"/>
      <c r="L27" s="480"/>
    </row>
    <row r="28" spans="1:12" ht="8.4499999999999993" customHeight="1" x14ac:dyDescent="0.25"/>
    <row r="29" spans="1:12" ht="20.45" customHeight="1" x14ac:dyDescent="0.25">
      <c r="F29" s="481" t="s">
        <v>22</v>
      </c>
      <c r="G29" s="481"/>
      <c r="H29" s="481"/>
      <c r="I29" s="481"/>
      <c r="J29" s="481"/>
      <c r="K29" s="481"/>
    </row>
    <row r="30" spans="1:12" ht="20.45" customHeight="1" x14ac:dyDescent="0.25"/>
    <row r="31" spans="1:12" ht="20.45" customHeight="1" x14ac:dyDescent="0.25"/>
    <row r="32" spans="1:12" ht="20.45" customHeight="1" x14ac:dyDescent="0.25"/>
    <row r="33" spans="6:11" ht="20.45" customHeight="1" x14ac:dyDescent="0.25">
      <c r="F33" s="482" t="s">
        <v>11</v>
      </c>
      <c r="G33" s="482"/>
      <c r="H33" s="482"/>
      <c r="I33" s="482"/>
      <c r="J33" s="482"/>
      <c r="K33" s="482"/>
    </row>
    <row r="34" spans="6:11" ht="20.45" customHeight="1" x14ac:dyDescent="0.25"/>
  </sheetData>
  <sheetProtection formatCells="0" formatColumns="0" formatRows="0" insertColumns="0" insertRows="0" insertHyperlinks="0" deleteColumns="0" deleteRows="0" sort="0" autoFilter="0" pivotTables="0"/>
  <mergeCells count="17">
    <mergeCell ref="A24:L24"/>
    <mergeCell ref="A3:L3"/>
    <mergeCell ref="A4:L4"/>
    <mergeCell ref="A6:L6"/>
    <mergeCell ref="A7:L7"/>
    <mergeCell ref="A8:L8"/>
    <mergeCell ref="A9:L9"/>
    <mergeCell ref="A10:L10"/>
    <mergeCell ref="B12:K12"/>
    <mergeCell ref="B13:K13"/>
    <mergeCell ref="F15:K15"/>
    <mergeCell ref="F19:K19"/>
    <mergeCell ref="C25:L25"/>
    <mergeCell ref="C26:L26"/>
    <mergeCell ref="C27:L27"/>
    <mergeCell ref="F29:K29"/>
    <mergeCell ref="F33:K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Q2471"/>
  <sheetViews>
    <sheetView tabSelected="1" topLeftCell="A2391" zoomScale="115" zoomScaleNormal="115" workbookViewId="0">
      <selection activeCell="H2340" sqref="H2340"/>
    </sheetView>
  </sheetViews>
  <sheetFormatPr defaultColWidth="9.140625" defaultRowHeight="21" x14ac:dyDescent="0.25"/>
  <cols>
    <col min="1" max="1" width="3.28515625" customWidth="1"/>
    <col min="2" max="2" width="5" style="108" customWidth="1"/>
    <col min="3" max="3" width="52" style="72" customWidth="1"/>
    <col min="4" max="4" width="25.28515625" style="72" customWidth="1"/>
    <col min="5" max="5" width="5" style="108" customWidth="1"/>
    <col min="6" max="6" width="17.7109375" style="5" customWidth="1"/>
    <col min="7" max="7" width="11.140625" style="5" customWidth="1"/>
    <col min="8" max="8" width="36.85546875" style="1" customWidth="1"/>
    <col min="9" max="9" width="14.85546875" style="173" hidden="1" customWidth="1"/>
    <col min="10" max="10" width="27.7109375" style="174" hidden="1" customWidth="1"/>
    <col min="11" max="11" width="14.28515625" style="385" hidden="1" customWidth="1"/>
  </cols>
  <sheetData>
    <row r="1" spans="2:13" s="8" customFormat="1" ht="45.75" customHeight="1" x14ac:dyDescent="0.35">
      <c r="B1" s="536" t="s">
        <v>23</v>
      </c>
      <c r="C1" s="536"/>
      <c r="D1" s="536"/>
      <c r="E1" s="536"/>
      <c r="F1" s="537"/>
      <c r="G1" s="536"/>
      <c r="H1" s="536"/>
      <c r="I1" s="171"/>
      <c r="J1" s="172"/>
      <c r="K1" s="155"/>
    </row>
    <row r="2" spans="2:13" x14ac:dyDescent="0.25">
      <c r="B2" s="105"/>
      <c r="C2" s="70"/>
      <c r="D2" s="70"/>
      <c r="E2" s="105"/>
      <c r="F2" s="37"/>
      <c r="G2" s="37"/>
    </row>
    <row r="3" spans="2:13" ht="30" customHeight="1" x14ac:dyDescent="0.25">
      <c r="B3" s="538" t="s">
        <v>24</v>
      </c>
      <c r="C3" s="538"/>
      <c r="D3" s="538"/>
      <c r="E3" s="538"/>
      <c r="F3" s="59" t="s">
        <v>25</v>
      </c>
      <c r="G3" s="102" t="s">
        <v>26</v>
      </c>
      <c r="H3" s="58" t="s">
        <v>27</v>
      </c>
      <c r="I3" s="175" t="s">
        <v>28</v>
      </c>
      <c r="J3" s="386" t="s">
        <v>29</v>
      </c>
      <c r="K3" s="386" t="s">
        <v>30</v>
      </c>
    </row>
    <row r="4" spans="2:13" ht="12.75" hidden="1" customHeight="1" x14ac:dyDescent="0.25">
      <c r="B4" s="106"/>
      <c r="C4" s="71"/>
      <c r="D4" s="71"/>
      <c r="E4" s="106"/>
      <c r="F4" s="11"/>
      <c r="G4" s="11"/>
      <c r="H4" s="12"/>
      <c r="I4" s="171"/>
    </row>
    <row r="5" spans="2:13" x14ac:dyDescent="0.25">
      <c r="B5" s="539" t="s">
        <v>31</v>
      </c>
      <c r="C5" s="539"/>
      <c r="D5" s="539"/>
      <c r="E5" s="539"/>
      <c r="F5" s="181"/>
      <c r="G5" s="181"/>
      <c r="H5" s="12"/>
      <c r="I5" s="171"/>
    </row>
    <row r="6" spans="2:13" x14ac:dyDescent="0.25">
      <c r="B6" s="113" t="s">
        <v>14</v>
      </c>
      <c r="C6" s="13" t="s">
        <v>15</v>
      </c>
      <c r="D6" s="13" t="s">
        <v>32</v>
      </c>
      <c r="E6" s="107">
        <v>1</v>
      </c>
      <c r="F6" s="14" t="str">
        <f t="shared" ref="F6:F11" si="0">H6</f>
        <v>SRI WAHYUNI</v>
      </c>
      <c r="G6" s="14" t="s">
        <v>33</v>
      </c>
      <c r="H6" s="2" t="s">
        <v>16</v>
      </c>
    </row>
    <row r="7" spans="2:13" x14ac:dyDescent="0.25">
      <c r="B7" s="113" t="s">
        <v>17</v>
      </c>
      <c r="C7" s="13" t="s">
        <v>18</v>
      </c>
      <c r="D7" s="13" t="s">
        <v>34</v>
      </c>
      <c r="E7" s="107">
        <f>E6+1</f>
        <v>2</v>
      </c>
      <c r="F7" s="66" t="str">
        <f t="shared" si="0"/>
        <v>04/01/2024</v>
      </c>
      <c r="G7" s="14" t="s">
        <v>35</v>
      </c>
      <c r="H7" s="99" t="s">
        <v>36</v>
      </c>
    </row>
    <row r="8" spans="2:13" x14ac:dyDescent="0.25">
      <c r="B8" s="113" t="s">
        <v>20</v>
      </c>
      <c r="C8" s="13" t="s">
        <v>21</v>
      </c>
      <c r="D8" s="13" t="s">
        <v>37</v>
      </c>
      <c r="E8" s="107">
        <f>E7+1</f>
        <v>3</v>
      </c>
      <c r="F8" s="23">
        <f t="shared" si="0"/>
        <v>85656184031</v>
      </c>
      <c r="G8" s="14" t="s">
        <v>38</v>
      </c>
      <c r="H8" s="100">
        <v>85656184031</v>
      </c>
    </row>
    <row r="9" spans="2:13" x14ac:dyDescent="0.25">
      <c r="B9" s="113" t="s">
        <v>39</v>
      </c>
      <c r="C9" s="13" t="s">
        <v>40</v>
      </c>
      <c r="D9" s="13" t="s">
        <v>41</v>
      </c>
      <c r="E9" s="107">
        <f>E8+1</f>
        <v>4</v>
      </c>
      <c r="F9" s="14">
        <f t="shared" si="0"/>
        <v>7302036910980001</v>
      </c>
      <c r="G9" s="14" t="s">
        <v>38</v>
      </c>
      <c r="H9" s="3">
        <v>7302036910980001</v>
      </c>
    </row>
    <row r="10" spans="2:13" x14ac:dyDescent="0.25">
      <c r="B10" s="113" t="s">
        <v>42</v>
      </c>
      <c r="C10" s="13" t="s">
        <v>43</v>
      </c>
      <c r="D10" s="13" t="s">
        <v>44</v>
      </c>
      <c r="E10" s="107">
        <f>E9+1</f>
        <v>5</v>
      </c>
      <c r="F10" s="14" t="str">
        <f t="shared" si="0"/>
        <v>Lainnya</v>
      </c>
      <c r="G10" s="14" t="s">
        <v>45</v>
      </c>
      <c r="H10" s="3" t="s">
        <v>46</v>
      </c>
      <c r="J10" s="426" t="s">
        <v>47</v>
      </c>
    </row>
    <row r="11" spans="2:13" x14ac:dyDescent="0.25">
      <c r="B11" s="113" t="s">
        <v>48</v>
      </c>
      <c r="C11" s="13" t="s">
        <v>49</v>
      </c>
      <c r="D11" s="13" t="s">
        <v>50</v>
      </c>
      <c r="E11" s="107">
        <f>E10+1</f>
        <v>6</v>
      </c>
      <c r="F11" s="101" t="str">
        <f t="shared" si="0"/>
        <v>-</v>
      </c>
      <c r="G11" s="14" t="s">
        <v>45</v>
      </c>
      <c r="H11" s="197" t="s">
        <v>47</v>
      </c>
      <c r="J11" s="426" t="s">
        <v>51</v>
      </c>
      <c r="K11" s="385" t="s">
        <v>42</v>
      </c>
    </row>
    <row r="12" spans="2:13" x14ac:dyDescent="0.25">
      <c r="B12" s="528" t="s">
        <v>52</v>
      </c>
      <c r="C12" s="529"/>
      <c r="D12" s="530"/>
      <c r="E12" s="133"/>
      <c r="F12" s="14"/>
      <c r="G12" s="14"/>
      <c r="H12" s="182"/>
      <c r="J12" s="426" t="s">
        <v>53</v>
      </c>
    </row>
    <row r="13" spans="2:13" x14ac:dyDescent="0.25">
      <c r="B13" s="266">
        <v>101</v>
      </c>
      <c r="C13" s="15" t="s">
        <v>54</v>
      </c>
      <c r="D13" s="15" t="s">
        <v>55</v>
      </c>
      <c r="E13" s="107">
        <f>E11+1</f>
        <v>7</v>
      </c>
      <c r="F13" s="14" t="str">
        <f t="shared" ref="F13:F45" si="1">H13</f>
        <v>ANDI ADHRYANA AMRAL</v>
      </c>
      <c r="G13" s="14" t="s">
        <v>33</v>
      </c>
      <c r="H13" s="2" t="s">
        <v>56</v>
      </c>
      <c r="I13" s="171"/>
      <c r="J13" s="427" t="s">
        <v>57</v>
      </c>
      <c r="L13" s="76"/>
      <c r="M13" s="76"/>
    </row>
    <row r="14" spans="2:13" x14ac:dyDescent="0.25">
      <c r="B14" s="521">
        <f>B13+1</f>
        <v>102</v>
      </c>
      <c r="C14" s="15" t="s">
        <v>58</v>
      </c>
      <c r="D14" s="15" t="s">
        <v>59</v>
      </c>
      <c r="E14" s="107">
        <f t="shared" ref="E14:E45" si="2">E13+1</f>
        <v>8</v>
      </c>
      <c r="F14" s="14" t="str">
        <f t="shared" si="1"/>
        <v>KASI Pemerintahan</v>
      </c>
      <c r="G14" s="14" t="s">
        <v>45</v>
      </c>
      <c r="H14" s="2" t="s">
        <v>60</v>
      </c>
      <c r="I14" s="171"/>
      <c r="J14" s="427" t="s">
        <v>61</v>
      </c>
      <c r="L14" s="76"/>
      <c r="M14" s="76"/>
    </row>
    <row r="15" spans="2:13" x14ac:dyDescent="0.25">
      <c r="B15" s="510"/>
      <c r="C15" s="15" t="s">
        <v>62</v>
      </c>
      <c r="D15" s="15" t="s">
        <v>63</v>
      </c>
      <c r="E15" s="107">
        <f t="shared" si="2"/>
        <v>9</v>
      </c>
      <c r="F15" s="14" t="str">
        <f t="shared" si="1"/>
        <v>Tidak Ada</v>
      </c>
      <c r="G15" s="14" t="s">
        <v>33</v>
      </c>
      <c r="H15" s="2" t="s">
        <v>64</v>
      </c>
      <c r="I15" s="171"/>
      <c r="J15" s="390"/>
      <c r="L15" s="76"/>
      <c r="M15" s="76"/>
    </row>
    <row r="16" spans="2:13" x14ac:dyDescent="0.25">
      <c r="B16" s="266">
        <f>B14+1</f>
        <v>103</v>
      </c>
      <c r="C16" s="15" t="s">
        <v>65</v>
      </c>
      <c r="D16" s="15" t="s">
        <v>66</v>
      </c>
      <c r="E16" s="107">
        <f t="shared" si="2"/>
        <v>10</v>
      </c>
      <c r="F16" s="23">
        <f t="shared" si="1"/>
        <v>85340357508</v>
      </c>
      <c r="G16" s="14" t="s">
        <v>38</v>
      </c>
      <c r="H16" s="100">
        <v>85340357508</v>
      </c>
      <c r="L16" s="6"/>
      <c r="M16" s="6"/>
    </row>
    <row r="17" spans="2:17" x14ac:dyDescent="0.25">
      <c r="B17" s="266">
        <f>B16+1</f>
        <v>104</v>
      </c>
      <c r="C17" s="15" t="s">
        <v>67</v>
      </c>
      <c r="D17" s="15" t="s">
        <v>68</v>
      </c>
      <c r="E17" s="107">
        <f t="shared" si="2"/>
        <v>11</v>
      </c>
      <c r="F17" s="66" t="str">
        <f t="shared" si="1"/>
        <v>07/22/1986</v>
      </c>
      <c r="G17" s="14" t="s">
        <v>35</v>
      </c>
      <c r="H17" s="99" t="s">
        <v>69</v>
      </c>
    </row>
    <row r="18" spans="2:17" x14ac:dyDescent="0.25">
      <c r="B18" s="266">
        <f>B17+1</f>
        <v>105</v>
      </c>
      <c r="C18" s="15" t="s">
        <v>70</v>
      </c>
      <c r="D18" s="15" t="s">
        <v>71</v>
      </c>
      <c r="E18" s="107">
        <f t="shared" si="2"/>
        <v>12</v>
      </c>
      <c r="F18" s="14">
        <f t="shared" si="1"/>
        <v>2</v>
      </c>
      <c r="G18" s="14" t="s">
        <v>45</v>
      </c>
      <c r="H18" s="2">
        <v>2</v>
      </c>
    </row>
    <row r="19" spans="2:17" x14ac:dyDescent="0.25">
      <c r="B19" s="521">
        <f>B18+1</f>
        <v>106</v>
      </c>
      <c r="C19" s="15" t="s">
        <v>72</v>
      </c>
      <c r="D19" s="15" t="s">
        <v>73</v>
      </c>
      <c r="E19" s="107">
        <f t="shared" si="2"/>
        <v>13</v>
      </c>
      <c r="F19" s="14">
        <f t="shared" si="1"/>
        <v>73</v>
      </c>
      <c r="G19" s="14" t="s">
        <v>33</v>
      </c>
      <c r="H19" s="2">
        <v>73</v>
      </c>
    </row>
    <row r="20" spans="2:17" x14ac:dyDescent="0.25">
      <c r="B20" s="510"/>
      <c r="C20" s="15" t="s">
        <v>74</v>
      </c>
      <c r="D20" s="15" t="s">
        <v>75</v>
      </c>
      <c r="E20" s="107">
        <f t="shared" si="2"/>
        <v>14</v>
      </c>
      <c r="F20" s="14" t="str">
        <f t="shared" si="1"/>
        <v>SULAWESI SELATAN</v>
      </c>
      <c r="G20" s="14" t="s">
        <v>33</v>
      </c>
      <c r="H20" s="2" t="s">
        <v>76</v>
      </c>
    </row>
    <row r="21" spans="2:17" x14ac:dyDescent="0.25">
      <c r="B21" s="521">
        <f>B19+1</f>
        <v>107</v>
      </c>
      <c r="C21" s="15" t="s">
        <v>77</v>
      </c>
      <c r="D21" s="15" t="s">
        <v>78</v>
      </c>
      <c r="E21" s="107">
        <f t="shared" si="2"/>
        <v>15</v>
      </c>
      <c r="F21" s="14">
        <f t="shared" si="1"/>
        <v>7302</v>
      </c>
      <c r="G21" s="14" t="s">
        <v>33</v>
      </c>
      <c r="H21" s="2">
        <v>7302</v>
      </c>
    </row>
    <row r="22" spans="2:17" x14ac:dyDescent="0.25">
      <c r="B22" s="510"/>
      <c r="C22" s="15" t="s">
        <v>79</v>
      </c>
      <c r="D22" s="15" t="s">
        <v>80</v>
      </c>
      <c r="E22" s="107">
        <f t="shared" si="2"/>
        <v>16</v>
      </c>
      <c r="F22" s="14" t="str">
        <f t="shared" si="1"/>
        <v>BULUKUMBA</v>
      </c>
      <c r="G22" s="14" t="s">
        <v>33</v>
      </c>
      <c r="H22" s="2" t="s">
        <v>81</v>
      </c>
    </row>
    <row r="23" spans="2:17" x14ac:dyDescent="0.25">
      <c r="B23" s="521">
        <f>B21+1</f>
        <v>108</v>
      </c>
      <c r="C23" s="15" t="s">
        <v>82</v>
      </c>
      <c r="D23" s="15" t="s">
        <v>83</v>
      </c>
      <c r="E23" s="107">
        <f t="shared" si="2"/>
        <v>17</v>
      </c>
      <c r="F23" s="14">
        <f t="shared" si="1"/>
        <v>730203</v>
      </c>
      <c r="G23" s="14" t="s">
        <v>33</v>
      </c>
      <c r="H23" s="2">
        <v>730203</v>
      </c>
      <c r="Q23" s="6"/>
    </row>
    <row r="24" spans="2:17" x14ac:dyDescent="0.25">
      <c r="B24" s="510"/>
      <c r="C24" s="15" t="s">
        <v>84</v>
      </c>
      <c r="D24" s="15" t="s">
        <v>85</v>
      </c>
      <c r="E24" s="107">
        <f t="shared" si="2"/>
        <v>18</v>
      </c>
      <c r="F24" s="14" t="str">
        <f t="shared" si="1"/>
        <v>BONTO BAHARI</v>
      </c>
      <c r="G24" s="14" t="s">
        <v>33</v>
      </c>
      <c r="H24" s="2" t="s">
        <v>86</v>
      </c>
      <c r="L24" s="6"/>
      <c r="M24" s="6"/>
      <c r="N24" s="6"/>
    </row>
    <row r="25" spans="2:17" x14ac:dyDescent="0.25">
      <c r="B25" s="521">
        <f>B23+1</f>
        <v>109</v>
      </c>
      <c r="C25" s="15" t="s">
        <v>87</v>
      </c>
      <c r="D25" s="15" t="s">
        <v>88</v>
      </c>
      <c r="E25" s="107">
        <f t="shared" si="2"/>
        <v>19</v>
      </c>
      <c r="F25" s="14">
        <f t="shared" si="1"/>
        <v>7302032005</v>
      </c>
      <c r="G25" s="14" t="s">
        <v>33</v>
      </c>
      <c r="H25" s="2">
        <v>7302032005</v>
      </c>
      <c r="L25" s="6"/>
      <c r="M25" s="6"/>
      <c r="N25" s="6"/>
    </row>
    <row r="26" spans="2:17" x14ac:dyDescent="0.25">
      <c r="B26" s="510"/>
      <c r="C26" s="15" t="s">
        <v>89</v>
      </c>
      <c r="D26" s="15" t="s">
        <v>90</v>
      </c>
      <c r="E26" s="107">
        <f t="shared" si="2"/>
        <v>20</v>
      </c>
      <c r="F26" s="14" t="str">
        <f t="shared" si="1"/>
        <v>BIRA</v>
      </c>
      <c r="G26" s="14" t="s">
        <v>33</v>
      </c>
      <c r="H26" s="2" t="s">
        <v>91</v>
      </c>
      <c r="L26" s="6"/>
      <c r="M26" s="6"/>
      <c r="N26" s="6"/>
    </row>
    <row r="27" spans="2:17" ht="31.5" x14ac:dyDescent="0.25">
      <c r="B27" s="255">
        <f>B25+1</f>
        <v>110</v>
      </c>
      <c r="C27" s="16" t="s">
        <v>92</v>
      </c>
      <c r="D27" s="15" t="s">
        <v>93</v>
      </c>
      <c r="E27" s="107">
        <f t="shared" si="2"/>
        <v>21</v>
      </c>
      <c r="F27" s="14" t="str">
        <f t="shared" si="1"/>
        <v>-5.582767LS,120.455679BT</v>
      </c>
      <c r="G27" s="14" t="s">
        <v>94</v>
      </c>
      <c r="H27" s="3" t="s">
        <v>95</v>
      </c>
      <c r="L27" s="6"/>
      <c r="M27" s="6"/>
      <c r="N27" s="6"/>
    </row>
    <row r="28" spans="2:17" ht="52.5" x14ac:dyDescent="0.25">
      <c r="B28" s="521">
        <f>B27+1</f>
        <v>111</v>
      </c>
      <c r="C28" s="15" t="s">
        <v>96</v>
      </c>
      <c r="D28" s="15" t="s">
        <v>97</v>
      </c>
      <c r="E28" s="107">
        <f t="shared" si="2"/>
        <v>22</v>
      </c>
      <c r="F28" s="14" t="str">
        <f t="shared" si="1"/>
        <v>Jl. Raya Tanjung Bira No. 56 Telepon  04132512213 Kode Pos  92571 Dusun Pungkarese Sul-Sel</v>
      </c>
      <c r="G28" s="14" t="s">
        <v>33</v>
      </c>
      <c r="H28" s="2" t="s">
        <v>98</v>
      </c>
      <c r="L28" s="6"/>
      <c r="M28" s="6"/>
      <c r="N28" s="6"/>
    </row>
    <row r="29" spans="2:17" x14ac:dyDescent="0.25">
      <c r="B29" s="509"/>
      <c r="C29" s="15" t="s">
        <v>99</v>
      </c>
      <c r="D29" s="15" t="s">
        <v>100</v>
      </c>
      <c r="E29" s="107">
        <f t="shared" si="2"/>
        <v>23</v>
      </c>
      <c r="F29" s="14">
        <f t="shared" si="1"/>
        <v>1</v>
      </c>
      <c r="G29" s="14" t="s">
        <v>45</v>
      </c>
      <c r="H29" s="2">
        <v>1</v>
      </c>
      <c r="L29" s="6"/>
      <c r="M29" s="6"/>
      <c r="N29" s="6"/>
    </row>
    <row r="30" spans="2:17" x14ac:dyDescent="0.25">
      <c r="B30" s="510"/>
      <c r="C30" s="15" t="s">
        <v>101</v>
      </c>
      <c r="D30" s="15" t="s">
        <v>102</v>
      </c>
      <c r="E30" s="107">
        <f t="shared" si="2"/>
        <v>24</v>
      </c>
      <c r="F30" s="14">
        <f t="shared" si="1"/>
        <v>1</v>
      </c>
      <c r="G30" s="14" t="s">
        <v>45</v>
      </c>
      <c r="H30" s="2">
        <v>1</v>
      </c>
      <c r="L30" s="6"/>
      <c r="M30" s="6"/>
      <c r="N30" s="6"/>
    </row>
    <row r="31" spans="2:17" x14ac:dyDescent="0.25">
      <c r="B31" s="521">
        <f>B28+1</f>
        <v>112</v>
      </c>
      <c r="C31" s="15" t="s">
        <v>103</v>
      </c>
      <c r="D31" s="15" t="s">
        <v>104</v>
      </c>
      <c r="E31" s="107">
        <f t="shared" si="2"/>
        <v>25</v>
      </c>
      <c r="F31" s="14" t="str">
        <f t="shared" si="1"/>
        <v>MURLAWA, SE</v>
      </c>
      <c r="G31" s="14" t="s">
        <v>33</v>
      </c>
      <c r="H31" s="2" t="s">
        <v>105</v>
      </c>
      <c r="L31" s="6"/>
      <c r="M31" s="6"/>
      <c r="N31" s="6"/>
    </row>
    <row r="32" spans="2:17" x14ac:dyDescent="0.25">
      <c r="B32" s="509"/>
      <c r="C32" s="15" t="s">
        <v>106</v>
      </c>
      <c r="D32" s="15" t="s">
        <v>107</v>
      </c>
      <c r="E32" s="107">
        <f t="shared" si="2"/>
        <v>26</v>
      </c>
      <c r="F32" s="14" t="str">
        <f t="shared" si="1"/>
        <v>Definitif</v>
      </c>
      <c r="G32" s="14" t="s">
        <v>45</v>
      </c>
      <c r="H32" s="2" t="s">
        <v>108</v>
      </c>
      <c r="L32" s="6"/>
      <c r="M32" s="6"/>
      <c r="N32" s="6"/>
    </row>
    <row r="33" spans="2:14" x14ac:dyDescent="0.25">
      <c r="B33" s="510"/>
      <c r="C33" s="15" t="s">
        <v>109</v>
      </c>
      <c r="D33" s="15" t="s">
        <v>110</v>
      </c>
      <c r="E33" s="107">
        <f t="shared" si="2"/>
        <v>27</v>
      </c>
      <c r="F33" s="14">
        <f t="shared" si="1"/>
        <v>1</v>
      </c>
      <c r="G33" s="14" t="s">
        <v>45</v>
      </c>
      <c r="H33" s="2">
        <v>1</v>
      </c>
      <c r="L33" s="6"/>
      <c r="M33" s="6"/>
      <c r="N33" s="6"/>
    </row>
    <row r="34" spans="2:14" x14ac:dyDescent="0.25">
      <c r="B34" s="266">
        <f>B31+1</f>
        <v>113</v>
      </c>
      <c r="C34" s="15" t="s">
        <v>111</v>
      </c>
      <c r="D34" s="15" t="s">
        <v>112</v>
      </c>
      <c r="E34" s="107">
        <f t="shared" si="2"/>
        <v>28</v>
      </c>
      <c r="F34" s="14">
        <f t="shared" si="1"/>
        <v>8124283740</v>
      </c>
      <c r="G34" s="14" t="s">
        <v>33</v>
      </c>
      <c r="H34" s="100">
        <v>8124283740</v>
      </c>
      <c r="L34" s="6"/>
      <c r="M34" s="6"/>
      <c r="N34" s="6"/>
    </row>
    <row r="35" spans="2:14" x14ac:dyDescent="0.25">
      <c r="B35" s="266">
        <f t="shared" ref="B35:B45" si="3">B34+1</f>
        <v>114</v>
      </c>
      <c r="C35" s="15" t="s">
        <v>113</v>
      </c>
      <c r="D35" s="15" t="s">
        <v>114</v>
      </c>
      <c r="E35" s="107">
        <f t="shared" si="2"/>
        <v>29</v>
      </c>
      <c r="F35" s="14" t="str">
        <f t="shared" si="1"/>
        <v>04132512213</v>
      </c>
      <c r="G35" s="14" t="s">
        <v>33</v>
      </c>
      <c r="H35" s="2" t="s">
        <v>115</v>
      </c>
      <c r="L35" s="76"/>
      <c r="M35" s="76"/>
    </row>
    <row r="36" spans="2:14" ht="15" customHeight="1" x14ac:dyDescent="0.25">
      <c r="B36" s="266">
        <f t="shared" si="3"/>
        <v>115</v>
      </c>
      <c r="C36" s="15" t="s">
        <v>116</v>
      </c>
      <c r="D36" s="15" t="s">
        <v>117</v>
      </c>
      <c r="E36" s="107">
        <f t="shared" si="2"/>
        <v>30</v>
      </c>
      <c r="F36" s="14" t="str">
        <f t="shared" si="1"/>
        <v>desabirabulukumba@gmail.com</v>
      </c>
      <c r="G36" s="14" t="s">
        <v>33</v>
      </c>
      <c r="H36" s="463" t="s">
        <v>118</v>
      </c>
      <c r="L36" s="6"/>
      <c r="M36" s="6"/>
      <c r="N36" s="6"/>
    </row>
    <row r="37" spans="2:14" x14ac:dyDescent="0.25">
      <c r="B37" s="266">
        <f t="shared" si="3"/>
        <v>116</v>
      </c>
      <c r="C37" s="15" t="s">
        <v>119</v>
      </c>
      <c r="D37" s="15" t="s">
        <v>120</v>
      </c>
      <c r="E37" s="107">
        <f t="shared" si="2"/>
        <v>31</v>
      </c>
      <c r="F37" s="14" t="str">
        <f t="shared" si="1"/>
        <v>Pemdes Bira</v>
      </c>
      <c r="G37" s="14" t="s">
        <v>33</v>
      </c>
      <c r="H37" s="2" t="s">
        <v>121</v>
      </c>
      <c r="L37" s="6"/>
      <c r="M37" s="6"/>
      <c r="N37" s="6"/>
    </row>
    <row r="38" spans="2:14" x14ac:dyDescent="0.25">
      <c r="B38" s="266">
        <f t="shared" si="3"/>
        <v>117</v>
      </c>
      <c r="C38" s="15" t="s">
        <v>122</v>
      </c>
      <c r="D38" s="15" t="s">
        <v>123</v>
      </c>
      <c r="E38" s="107">
        <f t="shared" si="2"/>
        <v>32</v>
      </c>
      <c r="F38" s="14" t="str">
        <f t="shared" si="1"/>
        <v>bira_berdaya</v>
      </c>
      <c r="G38" s="14" t="s">
        <v>33</v>
      </c>
      <c r="H38" s="2" t="s">
        <v>124</v>
      </c>
      <c r="L38" s="6"/>
      <c r="M38" s="6"/>
      <c r="N38" s="6"/>
    </row>
    <row r="39" spans="2:14" x14ac:dyDescent="0.25">
      <c r="B39" s="266">
        <f t="shared" si="3"/>
        <v>118</v>
      </c>
      <c r="C39" s="15" t="s">
        <v>125</v>
      </c>
      <c r="D39" s="15" t="s">
        <v>126</v>
      </c>
      <c r="E39" s="107">
        <f t="shared" si="2"/>
        <v>33</v>
      </c>
      <c r="F39" s="14" t="str">
        <f t="shared" si="1"/>
        <v>BiraBerdaya</v>
      </c>
      <c r="G39" s="14" t="s">
        <v>33</v>
      </c>
      <c r="H39" s="2" t="s">
        <v>127</v>
      </c>
      <c r="L39" s="6"/>
      <c r="M39" s="6"/>
      <c r="N39" s="6"/>
    </row>
    <row r="40" spans="2:14" x14ac:dyDescent="0.25">
      <c r="B40" s="266">
        <f t="shared" si="3"/>
        <v>119</v>
      </c>
      <c r="C40" s="15" t="s">
        <v>128</v>
      </c>
      <c r="D40" s="15" t="s">
        <v>129</v>
      </c>
      <c r="E40" s="107">
        <f t="shared" si="2"/>
        <v>34</v>
      </c>
      <c r="F40" s="14" t="str">
        <f t="shared" si="1"/>
        <v>https://www.desabira.com</v>
      </c>
      <c r="G40" s="14" t="s">
        <v>33</v>
      </c>
      <c r="H40" s="2" t="s">
        <v>130</v>
      </c>
      <c r="L40" s="6"/>
      <c r="M40" s="6"/>
      <c r="N40" s="6"/>
    </row>
    <row r="41" spans="2:14" x14ac:dyDescent="0.25">
      <c r="B41" s="266">
        <f t="shared" si="3"/>
        <v>120</v>
      </c>
      <c r="C41" s="15" t="s">
        <v>131</v>
      </c>
      <c r="D41" s="15" t="s">
        <v>132</v>
      </c>
      <c r="E41" s="107">
        <f t="shared" si="2"/>
        <v>35</v>
      </c>
      <c r="F41" s="14">
        <f t="shared" si="1"/>
        <v>3</v>
      </c>
      <c r="G41" s="14" t="s">
        <v>45</v>
      </c>
      <c r="H41" s="2">
        <v>3</v>
      </c>
      <c r="L41" s="6"/>
      <c r="M41" s="6"/>
      <c r="N41" s="6"/>
    </row>
    <row r="42" spans="2:14" x14ac:dyDescent="0.25">
      <c r="B42" s="266">
        <f t="shared" si="3"/>
        <v>121</v>
      </c>
      <c r="C42" s="15" t="s">
        <v>133</v>
      </c>
      <c r="D42" s="15" t="s">
        <v>134</v>
      </c>
      <c r="E42" s="107">
        <f t="shared" si="2"/>
        <v>36</v>
      </c>
      <c r="F42" s="14" t="str">
        <f t="shared" si="1"/>
        <v>4 Tahun 0 Bulan</v>
      </c>
      <c r="G42" s="14" t="s">
        <v>135</v>
      </c>
      <c r="H42" s="2" t="s">
        <v>136</v>
      </c>
      <c r="L42" s="6"/>
      <c r="M42" s="6"/>
      <c r="N42" s="6"/>
    </row>
    <row r="43" spans="2:14" x14ac:dyDescent="0.25">
      <c r="B43" s="266">
        <f t="shared" si="3"/>
        <v>122</v>
      </c>
      <c r="C43" s="15" t="s">
        <v>137</v>
      </c>
      <c r="D43" s="15" t="s">
        <v>138</v>
      </c>
      <c r="E43" s="107">
        <f t="shared" si="2"/>
        <v>37</v>
      </c>
      <c r="F43" s="14" t="str">
        <f t="shared" si="1"/>
        <v>Periode ke-1</v>
      </c>
      <c r="G43" s="14" t="s">
        <v>45</v>
      </c>
      <c r="H43" s="2" t="s">
        <v>139</v>
      </c>
      <c r="L43" s="6"/>
      <c r="M43" s="6"/>
      <c r="N43" s="6"/>
    </row>
    <row r="44" spans="2:14" x14ac:dyDescent="0.25">
      <c r="B44" s="266">
        <f t="shared" si="3"/>
        <v>123</v>
      </c>
      <c r="C44" s="15" t="s">
        <v>140</v>
      </c>
      <c r="D44" s="15" t="s">
        <v>141</v>
      </c>
      <c r="E44" s="107">
        <f t="shared" si="2"/>
        <v>38</v>
      </c>
      <c r="F44" s="14">
        <f t="shared" si="1"/>
        <v>5</v>
      </c>
      <c r="G44" s="14" t="s">
        <v>45</v>
      </c>
      <c r="H44" s="2">
        <v>5</v>
      </c>
      <c r="L44" s="6"/>
      <c r="M44" s="6"/>
      <c r="N44" s="6"/>
    </row>
    <row r="45" spans="2:14" x14ac:dyDescent="0.25">
      <c r="B45" s="266">
        <f t="shared" si="3"/>
        <v>124</v>
      </c>
      <c r="C45" s="15" t="s">
        <v>142</v>
      </c>
      <c r="D45" s="15" t="s">
        <v>143</v>
      </c>
      <c r="E45" s="107">
        <f t="shared" si="2"/>
        <v>39</v>
      </c>
      <c r="F45" s="14" t="str">
        <f t="shared" si="1"/>
        <v>1 Tahun 0 Bulan</v>
      </c>
      <c r="G45" s="14" t="s">
        <v>135</v>
      </c>
      <c r="H45" s="3" t="s">
        <v>144</v>
      </c>
    </row>
    <row r="46" spans="2:14" s="103" customFormat="1" x14ac:dyDescent="0.25">
      <c r="B46" s="266"/>
      <c r="C46" s="104" t="s">
        <v>145</v>
      </c>
      <c r="D46" s="15"/>
      <c r="E46" s="133"/>
      <c r="F46" s="14"/>
      <c r="G46" s="14"/>
      <c r="H46" s="1"/>
      <c r="I46" s="173"/>
      <c r="J46" s="174"/>
      <c r="K46" s="387"/>
    </row>
    <row r="47" spans="2:14" s="96" customFormat="1" x14ac:dyDescent="0.25">
      <c r="B47" s="534">
        <f>B45+1</f>
        <v>125</v>
      </c>
      <c r="C47" s="16" t="s">
        <v>146</v>
      </c>
      <c r="D47" s="15" t="s">
        <v>147</v>
      </c>
      <c r="E47" s="107">
        <f>E45+1</f>
        <v>40</v>
      </c>
      <c r="F47" s="14" t="str">
        <f>H47</f>
        <v>Ada</v>
      </c>
      <c r="G47" s="14" t="s">
        <v>45</v>
      </c>
      <c r="H47" s="2" t="s">
        <v>148</v>
      </c>
      <c r="I47" s="173"/>
      <c r="J47" s="174"/>
      <c r="K47" s="387"/>
    </row>
    <row r="48" spans="2:14" s="96" customFormat="1" x14ac:dyDescent="0.25">
      <c r="B48" s="534"/>
      <c r="C48" s="16" t="s">
        <v>149</v>
      </c>
      <c r="D48" s="15" t="s">
        <v>150</v>
      </c>
      <c r="E48" s="107">
        <f>E47+1</f>
        <v>41</v>
      </c>
      <c r="F48" s="14" t="str">
        <f>H48</f>
        <v>Masnadi</v>
      </c>
      <c r="G48" s="14" t="s">
        <v>33</v>
      </c>
      <c r="H48" s="2" t="s">
        <v>151</v>
      </c>
      <c r="I48" s="173"/>
      <c r="J48" s="174"/>
      <c r="K48" s="387"/>
    </row>
    <row r="49" spans="2:11" s="96" customFormat="1" x14ac:dyDescent="0.25">
      <c r="B49" s="534"/>
      <c r="C49" s="16" t="s">
        <v>152</v>
      </c>
      <c r="D49" s="15" t="s">
        <v>153</v>
      </c>
      <c r="E49" s="107">
        <f>E48+1</f>
        <v>42</v>
      </c>
      <c r="F49" s="14">
        <f>H49</f>
        <v>85255445244</v>
      </c>
      <c r="G49" s="14" t="s">
        <v>33</v>
      </c>
      <c r="H49" s="100">
        <v>85255445244</v>
      </c>
      <c r="I49" s="173"/>
      <c r="J49" s="174"/>
      <c r="K49" s="387"/>
    </row>
    <row r="50" spans="2:11" s="96" customFormat="1" x14ac:dyDescent="0.25">
      <c r="B50" s="534"/>
      <c r="C50" s="16" t="s">
        <v>154</v>
      </c>
      <c r="D50" s="15" t="s">
        <v>155</v>
      </c>
      <c r="E50" s="107">
        <f>E49+1</f>
        <v>43</v>
      </c>
      <c r="F50" s="14" t="str">
        <f>H50</f>
        <v>Laki-Laki</v>
      </c>
      <c r="G50" s="14" t="s">
        <v>45</v>
      </c>
      <c r="H50" s="2" t="s">
        <v>156</v>
      </c>
      <c r="I50" s="173"/>
      <c r="J50" s="174"/>
      <c r="K50" s="387"/>
    </row>
    <row r="51" spans="2:11" s="96" customFormat="1" x14ac:dyDescent="0.25">
      <c r="B51" s="266"/>
      <c r="C51" s="104" t="s">
        <v>157</v>
      </c>
      <c r="D51" s="15"/>
      <c r="E51" s="133"/>
      <c r="F51" s="14"/>
      <c r="G51" s="14"/>
      <c r="H51" s="1"/>
      <c r="I51" s="173"/>
      <c r="J51" s="174"/>
      <c r="K51" s="387"/>
    </row>
    <row r="52" spans="2:11" s="96" customFormat="1" x14ac:dyDescent="0.25">
      <c r="B52" s="534">
        <f>B47+1</f>
        <v>126</v>
      </c>
      <c r="C52" s="16" t="s">
        <v>158</v>
      </c>
      <c r="D52" s="15" t="s">
        <v>159</v>
      </c>
      <c r="E52" s="107">
        <f>E50+1</f>
        <v>44</v>
      </c>
      <c r="F52" s="14" t="str">
        <f t="shared" ref="F52:F90" si="4">H52</f>
        <v>Ada</v>
      </c>
      <c r="G52" s="14" t="s">
        <v>45</v>
      </c>
      <c r="H52" s="2" t="s">
        <v>148</v>
      </c>
      <c r="I52" s="173"/>
      <c r="J52" s="174"/>
      <c r="K52" s="387"/>
    </row>
    <row r="53" spans="2:11" s="96" customFormat="1" x14ac:dyDescent="0.25">
      <c r="B53" s="534"/>
      <c r="C53" s="16" t="s">
        <v>160</v>
      </c>
      <c r="D53" s="15" t="s">
        <v>161</v>
      </c>
      <c r="E53" s="107">
        <f t="shared" ref="E53:E63" si="5">E52+1</f>
        <v>45</v>
      </c>
      <c r="F53" s="14" t="str">
        <f t="shared" si="4"/>
        <v>Andi Adhryana Amral</v>
      </c>
      <c r="G53" s="14" t="s">
        <v>33</v>
      </c>
      <c r="H53" s="2" t="s">
        <v>162</v>
      </c>
      <c r="I53" s="173"/>
      <c r="J53" s="174"/>
      <c r="K53" s="387"/>
    </row>
    <row r="54" spans="2:11" s="96" customFormat="1" x14ac:dyDescent="0.25">
      <c r="B54" s="534"/>
      <c r="C54" s="16" t="s">
        <v>163</v>
      </c>
      <c r="D54" s="15" t="s">
        <v>164</v>
      </c>
      <c r="E54" s="107">
        <f t="shared" si="5"/>
        <v>46</v>
      </c>
      <c r="F54" s="14">
        <f t="shared" si="4"/>
        <v>85340357508</v>
      </c>
      <c r="G54" s="14" t="s">
        <v>33</v>
      </c>
      <c r="H54" s="100">
        <v>85340357508</v>
      </c>
      <c r="I54" s="173"/>
      <c r="J54" s="174"/>
      <c r="K54" s="387"/>
    </row>
    <row r="55" spans="2:11" s="96" customFormat="1" x14ac:dyDescent="0.25">
      <c r="B55" s="534"/>
      <c r="C55" s="16" t="s">
        <v>154</v>
      </c>
      <c r="D55" s="15" t="s">
        <v>155</v>
      </c>
      <c r="E55" s="107">
        <f t="shared" si="5"/>
        <v>47</v>
      </c>
      <c r="F55" s="14" t="str">
        <f t="shared" si="4"/>
        <v>Perempuan</v>
      </c>
      <c r="G55" s="14" t="s">
        <v>45</v>
      </c>
      <c r="H55" s="2" t="s">
        <v>165</v>
      </c>
      <c r="I55" s="173"/>
      <c r="J55" s="174"/>
      <c r="K55" s="387"/>
    </row>
    <row r="56" spans="2:11" s="96" customFormat="1" x14ac:dyDescent="0.25">
      <c r="B56" s="534">
        <f>B52+1</f>
        <v>127</v>
      </c>
      <c r="C56" s="16" t="s">
        <v>166</v>
      </c>
      <c r="D56" s="15" t="s">
        <v>167</v>
      </c>
      <c r="E56" s="107">
        <f t="shared" si="5"/>
        <v>48</v>
      </c>
      <c r="F56" s="14" t="str">
        <f t="shared" si="4"/>
        <v>Ada</v>
      </c>
      <c r="G56" s="14" t="s">
        <v>45</v>
      </c>
      <c r="H56" s="2" t="s">
        <v>148</v>
      </c>
      <c r="I56" s="173"/>
      <c r="J56" s="174"/>
      <c r="K56" s="387"/>
    </row>
    <row r="57" spans="2:11" s="96" customFormat="1" x14ac:dyDescent="0.25">
      <c r="B57" s="534"/>
      <c r="C57" s="16" t="s">
        <v>168</v>
      </c>
      <c r="D57" s="15" t="s">
        <v>169</v>
      </c>
      <c r="E57" s="107">
        <f t="shared" si="5"/>
        <v>49</v>
      </c>
      <c r="F57" s="14" t="str">
        <f t="shared" si="4"/>
        <v>Muhadi</v>
      </c>
      <c r="G57" s="14" t="s">
        <v>33</v>
      </c>
      <c r="H57" s="2" t="s">
        <v>170</v>
      </c>
      <c r="I57" s="173"/>
      <c r="J57" s="174"/>
      <c r="K57" s="387"/>
    </row>
    <row r="58" spans="2:11" s="96" customFormat="1" x14ac:dyDescent="0.25">
      <c r="B58" s="534"/>
      <c r="C58" s="16" t="s">
        <v>171</v>
      </c>
      <c r="D58" s="15" t="s">
        <v>172</v>
      </c>
      <c r="E58" s="107">
        <f t="shared" si="5"/>
        <v>50</v>
      </c>
      <c r="F58" s="14">
        <f t="shared" si="4"/>
        <v>81342267282</v>
      </c>
      <c r="G58" s="14" t="s">
        <v>33</v>
      </c>
      <c r="H58" s="100">
        <v>81342267282</v>
      </c>
      <c r="I58" s="173"/>
      <c r="J58" s="174"/>
      <c r="K58" s="387"/>
    </row>
    <row r="59" spans="2:11" s="96" customFormat="1" x14ac:dyDescent="0.25">
      <c r="B59" s="534"/>
      <c r="C59" s="16" t="s">
        <v>154</v>
      </c>
      <c r="D59" s="15" t="s">
        <v>155</v>
      </c>
      <c r="E59" s="107">
        <f t="shared" si="5"/>
        <v>51</v>
      </c>
      <c r="F59" s="14" t="str">
        <f t="shared" si="4"/>
        <v>Laki-Laki</v>
      </c>
      <c r="G59" s="14" t="s">
        <v>45</v>
      </c>
      <c r="H59" s="2" t="s">
        <v>156</v>
      </c>
      <c r="I59" s="173"/>
      <c r="J59" s="174"/>
      <c r="K59" s="387"/>
    </row>
    <row r="60" spans="2:11" s="96" customFormat="1" x14ac:dyDescent="0.25">
      <c r="B60" s="534">
        <f>B56+1</f>
        <v>128</v>
      </c>
      <c r="C60" s="16" t="s">
        <v>173</v>
      </c>
      <c r="D60" s="15" t="s">
        <v>174</v>
      </c>
      <c r="E60" s="107">
        <f t="shared" si="5"/>
        <v>52</v>
      </c>
      <c r="F60" s="14" t="str">
        <f t="shared" si="4"/>
        <v>Ada</v>
      </c>
      <c r="G60" s="14" t="s">
        <v>45</v>
      </c>
      <c r="H60" s="2" t="s">
        <v>148</v>
      </c>
      <c r="I60" s="173"/>
      <c r="J60" s="174"/>
      <c r="K60" s="387"/>
    </row>
    <row r="61" spans="2:11" s="96" customFormat="1" x14ac:dyDescent="0.25">
      <c r="B61" s="534"/>
      <c r="C61" s="16" t="s">
        <v>175</v>
      </c>
      <c r="D61" s="15" t="s">
        <v>176</v>
      </c>
      <c r="E61" s="107">
        <f t="shared" si="5"/>
        <v>53</v>
      </c>
      <c r="F61" s="14" t="str">
        <f t="shared" si="4"/>
        <v>Syahruddin</v>
      </c>
      <c r="G61" s="14" t="s">
        <v>33</v>
      </c>
      <c r="H61" s="2" t="s">
        <v>177</v>
      </c>
      <c r="I61" s="173"/>
      <c r="J61" s="174"/>
      <c r="K61" s="387"/>
    </row>
    <row r="62" spans="2:11" s="96" customFormat="1" x14ac:dyDescent="0.25">
      <c r="B62" s="534"/>
      <c r="C62" s="16" t="s">
        <v>178</v>
      </c>
      <c r="D62" s="15" t="s">
        <v>179</v>
      </c>
      <c r="E62" s="107">
        <f t="shared" si="5"/>
        <v>54</v>
      </c>
      <c r="F62" s="14">
        <f t="shared" si="4"/>
        <v>81240549980</v>
      </c>
      <c r="G62" s="14" t="s">
        <v>33</v>
      </c>
      <c r="H62" s="100">
        <v>81240549980</v>
      </c>
      <c r="I62" s="173"/>
      <c r="J62" s="174"/>
      <c r="K62" s="387"/>
    </row>
    <row r="63" spans="2:11" s="96" customFormat="1" x14ac:dyDescent="0.25">
      <c r="B63" s="534"/>
      <c r="C63" s="16" t="s">
        <v>154</v>
      </c>
      <c r="D63" s="15" t="s">
        <v>155</v>
      </c>
      <c r="E63" s="107">
        <f t="shared" si="5"/>
        <v>55</v>
      </c>
      <c r="F63" s="14" t="str">
        <f t="shared" si="4"/>
        <v>Laki-Laki</v>
      </c>
      <c r="G63" s="14" t="s">
        <v>45</v>
      </c>
      <c r="H63" s="2" t="s">
        <v>156</v>
      </c>
      <c r="I63" s="173"/>
      <c r="J63" s="174"/>
      <c r="K63" s="387"/>
    </row>
    <row r="64" spans="2:11" s="96" customFormat="1" x14ac:dyDescent="0.25">
      <c r="B64" s="266"/>
      <c r="C64" s="104" t="s">
        <v>180</v>
      </c>
      <c r="D64" s="15"/>
      <c r="E64" s="133"/>
      <c r="F64" s="14" t="str">
        <f t="shared" si="4"/>
        <v/>
      </c>
      <c r="G64" s="14"/>
      <c r="H64" s="1"/>
      <c r="I64" s="173"/>
      <c r="J64" s="174"/>
      <c r="K64" s="387"/>
    </row>
    <row r="65" spans="2:11" s="96" customFormat="1" x14ac:dyDescent="0.25">
      <c r="B65" s="534">
        <f>B60+1</f>
        <v>129</v>
      </c>
      <c r="C65" s="16" t="s">
        <v>181</v>
      </c>
      <c r="D65" s="15" t="s">
        <v>182</v>
      </c>
      <c r="E65" s="107">
        <f>E63+1</f>
        <v>56</v>
      </c>
      <c r="F65" s="14" t="str">
        <f t="shared" si="4"/>
        <v>Ada</v>
      </c>
      <c r="G65" s="14" t="s">
        <v>45</v>
      </c>
      <c r="H65" s="2" t="s">
        <v>148</v>
      </c>
      <c r="I65" s="173"/>
      <c r="J65" s="174"/>
      <c r="K65" s="387"/>
    </row>
    <row r="66" spans="2:11" s="96" customFormat="1" x14ac:dyDescent="0.25">
      <c r="B66" s="534"/>
      <c r="C66" s="16" t="s">
        <v>183</v>
      </c>
      <c r="D66" s="15" t="s">
        <v>184</v>
      </c>
      <c r="E66" s="107">
        <f t="shared" ref="E66:E90" si="6">E65+1</f>
        <v>57</v>
      </c>
      <c r="F66" s="14" t="str">
        <f t="shared" si="4"/>
        <v>Nisma Te'ne</v>
      </c>
      <c r="G66" s="14" t="s">
        <v>33</v>
      </c>
      <c r="H66" s="2" t="s">
        <v>185</v>
      </c>
      <c r="I66" s="173"/>
      <c r="J66" s="174"/>
      <c r="K66" s="387"/>
    </row>
    <row r="67" spans="2:11" s="96" customFormat="1" x14ac:dyDescent="0.25">
      <c r="B67" s="534"/>
      <c r="C67" s="16" t="s">
        <v>186</v>
      </c>
      <c r="D67" s="15" t="s">
        <v>187</v>
      </c>
      <c r="E67" s="107">
        <f t="shared" si="6"/>
        <v>58</v>
      </c>
      <c r="F67" s="14">
        <f t="shared" si="4"/>
        <v>81242211024</v>
      </c>
      <c r="G67" s="14" t="s">
        <v>33</v>
      </c>
      <c r="H67" s="100">
        <v>81242211024</v>
      </c>
      <c r="I67" s="173"/>
      <c r="J67" s="174"/>
      <c r="K67" s="387"/>
    </row>
    <row r="68" spans="2:11" s="96" customFormat="1" x14ac:dyDescent="0.25">
      <c r="B68" s="534"/>
      <c r="C68" s="16" t="s">
        <v>154</v>
      </c>
      <c r="D68" s="15" t="s">
        <v>155</v>
      </c>
      <c r="E68" s="107">
        <f t="shared" si="6"/>
        <v>59</v>
      </c>
      <c r="F68" s="14" t="str">
        <f t="shared" si="4"/>
        <v>Perempuan</v>
      </c>
      <c r="G68" s="14" t="s">
        <v>45</v>
      </c>
      <c r="H68" s="2" t="s">
        <v>165</v>
      </c>
      <c r="I68" s="173"/>
      <c r="J68" s="174"/>
      <c r="K68" s="387"/>
    </row>
    <row r="69" spans="2:11" s="96" customFormat="1" x14ac:dyDescent="0.25">
      <c r="B69" s="534">
        <f>B65+1</f>
        <v>130</v>
      </c>
      <c r="C69" s="16" t="s">
        <v>188</v>
      </c>
      <c r="D69" s="15" t="s">
        <v>189</v>
      </c>
      <c r="E69" s="107">
        <f t="shared" si="6"/>
        <v>60</v>
      </c>
      <c r="F69" s="14" t="str">
        <f t="shared" si="4"/>
        <v>Ada</v>
      </c>
      <c r="G69" s="14" t="s">
        <v>45</v>
      </c>
      <c r="H69" s="2" t="s">
        <v>148</v>
      </c>
      <c r="I69" s="173"/>
      <c r="J69" s="174"/>
      <c r="K69" s="387"/>
    </row>
    <row r="70" spans="2:11" s="96" customFormat="1" x14ac:dyDescent="0.25">
      <c r="B70" s="534"/>
      <c r="C70" s="16" t="s">
        <v>190</v>
      </c>
      <c r="D70" s="15" t="s">
        <v>191</v>
      </c>
      <c r="E70" s="107">
        <f t="shared" si="6"/>
        <v>61</v>
      </c>
      <c r="F70" s="14" t="str">
        <f t="shared" si="4"/>
        <v>Andi Alwarida</v>
      </c>
      <c r="G70" s="14" t="s">
        <v>33</v>
      </c>
      <c r="H70" s="2" t="s">
        <v>192</v>
      </c>
      <c r="I70" s="173"/>
      <c r="J70" s="174"/>
      <c r="K70" s="387"/>
    </row>
    <row r="71" spans="2:11" s="96" customFormat="1" x14ac:dyDescent="0.25">
      <c r="B71" s="534"/>
      <c r="C71" s="16" t="s">
        <v>193</v>
      </c>
      <c r="D71" s="15" t="s">
        <v>194</v>
      </c>
      <c r="E71" s="107">
        <f t="shared" si="6"/>
        <v>62</v>
      </c>
      <c r="F71" s="14">
        <f t="shared" si="4"/>
        <v>85254245424</v>
      </c>
      <c r="G71" s="14" t="s">
        <v>33</v>
      </c>
      <c r="H71" s="100">
        <v>85254245424</v>
      </c>
      <c r="I71" s="173"/>
      <c r="J71" s="174"/>
      <c r="K71" s="387"/>
    </row>
    <row r="72" spans="2:11" s="96" customFormat="1" x14ac:dyDescent="0.25">
      <c r="B72" s="534"/>
      <c r="C72" s="16" t="s">
        <v>154</v>
      </c>
      <c r="D72" s="15" t="s">
        <v>155</v>
      </c>
      <c r="E72" s="107">
        <f t="shared" si="6"/>
        <v>63</v>
      </c>
      <c r="F72" s="14" t="str">
        <f t="shared" si="4"/>
        <v>Perempuan</v>
      </c>
      <c r="G72" s="14" t="s">
        <v>45</v>
      </c>
      <c r="H72" s="2" t="s">
        <v>165</v>
      </c>
      <c r="I72" s="173"/>
      <c r="J72" s="174"/>
      <c r="K72" s="387"/>
    </row>
    <row r="73" spans="2:11" s="96" customFormat="1" x14ac:dyDescent="0.25">
      <c r="B73" s="534">
        <f>B69+1</f>
        <v>131</v>
      </c>
      <c r="C73" s="16" t="s">
        <v>195</v>
      </c>
      <c r="D73" s="15" t="s">
        <v>196</v>
      </c>
      <c r="E73" s="107">
        <f t="shared" si="6"/>
        <v>64</v>
      </c>
      <c r="F73" s="14" t="str">
        <f t="shared" si="4"/>
        <v>Ada</v>
      </c>
      <c r="G73" s="14" t="s">
        <v>45</v>
      </c>
      <c r="H73" s="2" t="s">
        <v>148</v>
      </c>
      <c r="I73" s="173"/>
      <c r="J73" s="174"/>
      <c r="K73" s="387"/>
    </row>
    <row r="74" spans="2:11" s="96" customFormat="1" x14ac:dyDescent="0.25">
      <c r="B74" s="534"/>
      <c r="C74" s="16" t="s">
        <v>197</v>
      </c>
      <c r="D74" s="15" t="s">
        <v>198</v>
      </c>
      <c r="E74" s="107">
        <f t="shared" si="6"/>
        <v>65</v>
      </c>
      <c r="F74" s="14" t="str">
        <f t="shared" si="4"/>
        <v>Laura Listiani</v>
      </c>
      <c r="G74" s="14" t="s">
        <v>33</v>
      </c>
      <c r="H74" s="2" t="s">
        <v>199</v>
      </c>
      <c r="I74" s="173"/>
      <c r="J74" s="174"/>
      <c r="K74" s="387"/>
    </row>
    <row r="75" spans="2:11" s="96" customFormat="1" x14ac:dyDescent="0.25">
      <c r="B75" s="534"/>
      <c r="C75" s="16" t="s">
        <v>200</v>
      </c>
      <c r="D75" s="15" t="s">
        <v>201</v>
      </c>
      <c r="E75" s="107">
        <f t="shared" si="6"/>
        <v>66</v>
      </c>
      <c r="F75" s="14">
        <f t="shared" si="4"/>
        <v>81527417335</v>
      </c>
      <c r="G75" s="14" t="s">
        <v>33</v>
      </c>
      <c r="H75" s="100">
        <v>81527417335</v>
      </c>
      <c r="I75" s="173"/>
      <c r="J75" s="174"/>
      <c r="K75" s="387"/>
    </row>
    <row r="76" spans="2:11" s="96" customFormat="1" x14ac:dyDescent="0.25">
      <c r="B76" s="534"/>
      <c r="C76" s="16" t="s">
        <v>154</v>
      </c>
      <c r="D76" s="15" t="s">
        <v>155</v>
      </c>
      <c r="E76" s="107">
        <f t="shared" si="6"/>
        <v>67</v>
      </c>
      <c r="F76" s="14" t="str">
        <f t="shared" si="4"/>
        <v>Perempuan</v>
      </c>
      <c r="G76" s="14" t="s">
        <v>45</v>
      </c>
      <c r="H76" s="2" t="s">
        <v>165</v>
      </c>
      <c r="I76" s="173"/>
      <c r="J76" s="174"/>
      <c r="K76" s="387"/>
    </row>
    <row r="77" spans="2:11" x14ac:dyDescent="0.25">
      <c r="B77" s="534">
        <f>B73+1</f>
        <v>132</v>
      </c>
      <c r="C77" s="16" t="s">
        <v>202</v>
      </c>
      <c r="D77" s="15" t="s">
        <v>203</v>
      </c>
      <c r="E77" s="185">
        <f t="shared" si="6"/>
        <v>68</v>
      </c>
      <c r="F77" s="183">
        <f t="shared" si="4"/>
        <v>0</v>
      </c>
      <c r="G77" s="183" t="s">
        <v>204</v>
      </c>
      <c r="H77" s="190">
        <v>0</v>
      </c>
      <c r="J77" s="174" t="s">
        <v>205</v>
      </c>
    </row>
    <row r="78" spans="2:11" x14ac:dyDescent="0.25">
      <c r="B78" s="534"/>
      <c r="C78" s="17"/>
      <c r="D78" s="15" t="s">
        <v>206</v>
      </c>
      <c r="E78" s="185">
        <f t="shared" si="6"/>
        <v>69</v>
      </c>
      <c r="F78" s="183">
        <f t="shared" si="4"/>
        <v>4</v>
      </c>
      <c r="G78" s="183" t="s">
        <v>204</v>
      </c>
      <c r="H78" s="190">
        <v>4</v>
      </c>
      <c r="J78" s="174" t="s">
        <v>205</v>
      </c>
    </row>
    <row r="79" spans="2:11" x14ac:dyDescent="0.25">
      <c r="B79" s="534"/>
      <c r="C79" s="16" t="s">
        <v>207</v>
      </c>
      <c r="D79" s="15" t="s">
        <v>208</v>
      </c>
      <c r="E79" s="185">
        <f t="shared" si="6"/>
        <v>70</v>
      </c>
      <c r="F79" s="183">
        <f t="shared" si="4"/>
        <v>5</v>
      </c>
      <c r="G79" s="183" t="s">
        <v>204</v>
      </c>
      <c r="H79" s="190">
        <v>5</v>
      </c>
      <c r="J79" s="174" t="s">
        <v>205</v>
      </c>
    </row>
    <row r="80" spans="2:11" x14ac:dyDescent="0.25">
      <c r="B80" s="534"/>
      <c r="C80" s="17"/>
      <c r="D80" s="15" t="s">
        <v>209</v>
      </c>
      <c r="E80" s="185">
        <f t="shared" si="6"/>
        <v>71</v>
      </c>
      <c r="F80" s="183">
        <f t="shared" si="4"/>
        <v>4</v>
      </c>
      <c r="G80" s="183" t="s">
        <v>204</v>
      </c>
      <c r="H80" s="190">
        <v>4</v>
      </c>
      <c r="J80" s="174" t="s">
        <v>205</v>
      </c>
    </row>
    <row r="81" spans="2:10" x14ac:dyDescent="0.25">
      <c r="B81" s="534"/>
      <c r="C81" s="16" t="s">
        <v>210</v>
      </c>
      <c r="D81" s="15" t="s">
        <v>211</v>
      </c>
      <c r="E81" s="185">
        <f t="shared" si="6"/>
        <v>72</v>
      </c>
      <c r="F81" s="183">
        <f t="shared" si="4"/>
        <v>28</v>
      </c>
      <c r="G81" s="183" t="s">
        <v>204</v>
      </c>
      <c r="H81" s="190">
        <v>28</v>
      </c>
      <c r="J81" s="174" t="s">
        <v>205</v>
      </c>
    </row>
    <row r="82" spans="2:10" x14ac:dyDescent="0.25">
      <c r="B82" s="534"/>
      <c r="C82" s="17"/>
      <c r="D82" s="15" t="s">
        <v>212</v>
      </c>
      <c r="E82" s="185">
        <f t="shared" si="6"/>
        <v>73</v>
      </c>
      <c r="F82" s="183">
        <f t="shared" si="4"/>
        <v>8</v>
      </c>
      <c r="G82" s="183" t="s">
        <v>204</v>
      </c>
      <c r="H82" s="190">
        <v>8</v>
      </c>
      <c r="J82" s="174" t="s">
        <v>205</v>
      </c>
    </row>
    <row r="83" spans="2:10" x14ac:dyDescent="0.25">
      <c r="B83" s="534"/>
      <c r="C83" s="16" t="s">
        <v>213</v>
      </c>
      <c r="D83" s="15" t="s">
        <v>214</v>
      </c>
      <c r="E83" s="185">
        <f t="shared" si="6"/>
        <v>74</v>
      </c>
      <c r="F83" s="183">
        <f t="shared" si="4"/>
        <v>0</v>
      </c>
      <c r="G83" s="183" t="s">
        <v>204</v>
      </c>
      <c r="H83" s="190">
        <v>0</v>
      </c>
      <c r="J83" s="174" t="s">
        <v>205</v>
      </c>
    </row>
    <row r="84" spans="2:10" x14ac:dyDescent="0.25">
      <c r="B84" s="534"/>
      <c r="C84" s="17"/>
      <c r="D84" s="15" t="s">
        <v>215</v>
      </c>
      <c r="E84" s="185">
        <f t="shared" si="6"/>
        <v>75</v>
      </c>
      <c r="F84" s="183">
        <f t="shared" si="4"/>
        <v>45</v>
      </c>
      <c r="G84" s="183" t="s">
        <v>204</v>
      </c>
      <c r="H84" s="190">
        <v>45</v>
      </c>
      <c r="J84" s="174" t="s">
        <v>205</v>
      </c>
    </row>
    <row r="85" spans="2:10" x14ac:dyDescent="0.25">
      <c r="B85" s="534"/>
      <c r="C85" s="16" t="s">
        <v>216</v>
      </c>
      <c r="D85" s="15" t="s">
        <v>217</v>
      </c>
      <c r="E85" s="185">
        <f t="shared" si="6"/>
        <v>76</v>
      </c>
      <c r="F85" s="183">
        <f t="shared" si="4"/>
        <v>3</v>
      </c>
      <c r="G85" s="183" t="s">
        <v>204</v>
      </c>
      <c r="H85" s="190">
        <v>3</v>
      </c>
      <c r="J85" s="174" t="s">
        <v>205</v>
      </c>
    </row>
    <row r="86" spans="2:10" x14ac:dyDescent="0.25">
      <c r="B86" s="534"/>
      <c r="C86" s="17"/>
      <c r="D86" s="15" t="s">
        <v>218</v>
      </c>
      <c r="E86" s="185">
        <f t="shared" si="6"/>
        <v>77</v>
      </c>
      <c r="F86" s="183">
        <f t="shared" si="4"/>
        <v>1</v>
      </c>
      <c r="G86" s="183" t="s">
        <v>204</v>
      </c>
      <c r="H86" s="190">
        <v>1</v>
      </c>
      <c r="J86" s="174" t="s">
        <v>205</v>
      </c>
    </row>
    <row r="87" spans="2:10" x14ac:dyDescent="0.25">
      <c r="B87" s="534"/>
      <c r="C87" s="16" t="s">
        <v>219</v>
      </c>
      <c r="D87" s="15" t="s">
        <v>220</v>
      </c>
      <c r="E87" s="185">
        <f t="shared" si="6"/>
        <v>78</v>
      </c>
      <c r="F87" s="183">
        <f t="shared" si="4"/>
        <v>3</v>
      </c>
      <c r="G87" s="183" t="s">
        <v>204</v>
      </c>
      <c r="H87" s="190">
        <v>3</v>
      </c>
      <c r="J87" s="174" t="s">
        <v>205</v>
      </c>
    </row>
    <row r="88" spans="2:10" x14ac:dyDescent="0.25">
      <c r="B88" s="534"/>
      <c r="C88" s="17"/>
      <c r="D88" s="15" t="s">
        <v>221</v>
      </c>
      <c r="E88" s="185">
        <f t="shared" si="6"/>
        <v>79</v>
      </c>
      <c r="F88" s="183">
        <f t="shared" si="4"/>
        <v>7</v>
      </c>
      <c r="G88" s="183" t="s">
        <v>204</v>
      </c>
      <c r="H88" s="190">
        <v>7</v>
      </c>
      <c r="J88" s="174" t="s">
        <v>205</v>
      </c>
    </row>
    <row r="89" spans="2:10" x14ac:dyDescent="0.25">
      <c r="B89" s="534"/>
      <c r="C89" s="16" t="s">
        <v>222</v>
      </c>
      <c r="D89" s="15" t="s">
        <v>223</v>
      </c>
      <c r="E89" s="185">
        <f t="shared" si="6"/>
        <v>80</v>
      </c>
      <c r="F89" s="183">
        <f t="shared" si="4"/>
        <v>4</v>
      </c>
      <c r="G89" s="183" t="s">
        <v>204</v>
      </c>
      <c r="H89" s="190">
        <v>4</v>
      </c>
      <c r="J89" s="174" t="s">
        <v>205</v>
      </c>
    </row>
    <row r="90" spans="2:10" x14ac:dyDescent="0.25">
      <c r="B90" s="534"/>
      <c r="C90" s="17"/>
      <c r="D90" s="15" t="s">
        <v>224</v>
      </c>
      <c r="E90" s="185">
        <f t="shared" si="6"/>
        <v>81</v>
      </c>
      <c r="F90" s="183">
        <f t="shared" si="4"/>
        <v>16</v>
      </c>
      <c r="G90" s="183" t="s">
        <v>204</v>
      </c>
      <c r="H90" s="190">
        <v>16</v>
      </c>
      <c r="J90" s="174" t="s">
        <v>205</v>
      </c>
    </row>
    <row r="91" spans="2:10" x14ac:dyDescent="0.25">
      <c r="B91" s="528" t="s">
        <v>225</v>
      </c>
      <c r="C91" s="529"/>
      <c r="D91" s="530"/>
      <c r="E91" s="133"/>
      <c r="F91" s="14"/>
      <c r="G91" s="14"/>
    </row>
    <row r="92" spans="2:10" x14ac:dyDescent="0.25">
      <c r="B92" s="114"/>
      <c r="C92" s="39" t="s">
        <v>226</v>
      </c>
      <c r="D92" s="40"/>
      <c r="E92" s="133"/>
      <c r="F92" s="14"/>
      <c r="G92" s="14"/>
    </row>
    <row r="93" spans="2:10" x14ac:dyDescent="0.25">
      <c r="B93" s="114"/>
      <c r="C93" s="41" t="s">
        <v>227</v>
      </c>
      <c r="D93" s="42"/>
      <c r="E93" s="133"/>
      <c r="F93" s="14"/>
      <c r="G93" s="14"/>
    </row>
    <row r="94" spans="2:10" x14ac:dyDescent="0.25">
      <c r="B94" s="266">
        <v>201</v>
      </c>
      <c r="C94" s="15" t="s">
        <v>228</v>
      </c>
      <c r="D94" s="15" t="s">
        <v>229</v>
      </c>
      <c r="E94" s="107">
        <f>E90+1</f>
        <v>82</v>
      </c>
      <c r="F94" s="14">
        <f>H94</f>
        <v>1761</v>
      </c>
      <c r="G94" s="14" t="s">
        <v>230</v>
      </c>
      <c r="H94" s="4">
        <v>1761</v>
      </c>
      <c r="J94" s="174" t="s">
        <v>231</v>
      </c>
    </row>
    <row r="95" spans="2:10" x14ac:dyDescent="0.25">
      <c r="B95" s="114"/>
      <c r="C95" s="38" t="s">
        <v>232</v>
      </c>
      <c r="D95" s="40"/>
      <c r="E95" s="133"/>
      <c r="F95" s="14"/>
      <c r="G95" s="134"/>
    </row>
    <row r="96" spans="2:10" x14ac:dyDescent="0.25">
      <c r="B96" s="266">
        <f>1+B94</f>
        <v>202</v>
      </c>
      <c r="C96" s="15" t="s">
        <v>233</v>
      </c>
      <c r="D96" s="15" t="s">
        <v>234</v>
      </c>
      <c r="E96" s="107">
        <f>E94+1</f>
        <v>83</v>
      </c>
      <c r="F96" s="14">
        <f>H96</f>
        <v>4</v>
      </c>
      <c r="G96" s="14" t="s">
        <v>45</v>
      </c>
      <c r="H96" s="2">
        <v>4</v>
      </c>
    </row>
    <row r="97" spans="2:10" x14ac:dyDescent="0.25">
      <c r="B97" s="255"/>
      <c r="C97" s="45" t="s">
        <v>235</v>
      </c>
      <c r="D97" s="15"/>
      <c r="E97" s="133"/>
      <c r="F97" s="14"/>
      <c r="G97" s="14"/>
    </row>
    <row r="98" spans="2:10" x14ac:dyDescent="0.25">
      <c r="B98" s="521">
        <f>B96+1</f>
        <v>203</v>
      </c>
      <c r="C98" s="15" t="s">
        <v>236</v>
      </c>
      <c r="D98" s="15" t="s">
        <v>237</v>
      </c>
      <c r="E98" s="107">
        <f>E96+1</f>
        <v>84</v>
      </c>
      <c r="F98" s="14" t="str">
        <f t="shared" ref="F98:F113" si="7">H98</f>
        <v>Tidak</v>
      </c>
      <c r="G98" s="14" t="s">
        <v>45</v>
      </c>
      <c r="H98" s="2" t="s">
        <v>238</v>
      </c>
    </row>
    <row r="99" spans="2:10" x14ac:dyDescent="0.25">
      <c r="B99" s="509"/>
      <c r="C99" s="15" t="s">
        <v>239</v>
      </c>
      <c r="D99" s="15" t="s">
        <v>240</v>
      </c>
      <c r="E99" s="107">
        <f t="shared" ref="E99:E113" si="8">E98+1</f>
        <v>85</v>
      </c>
      <c r="F99" s="14" t="str">
        <f t="shared" si="7"/>
        <v>Tidak</v>
      </c>
      <c r="G99" s="14" t="s">
        <v>45</v>
      </c>
      <c r="H99" s="2" t="s">
        <v>238</v>
      </c>
      <c r="J99" s="390" t="s">
        <v>64</v>
      </c>
    </row>
    <row r="100" spans="2:10" x14ac:dyDescent="0.25">
      <c r="B100" s="509"/>
      <c r="C100" s="15" t="s">
        <v>241</v>
      </c>
      <c r="D100" s="15" t="s">
        <v>242</v>
      </c>
      <c r="E100" s="107">
        <f t="shared" si="8"/>
        <v>86</v>
      </c>
      <c r="F100" s="14" t="str">
        <f t="shared" si="7"/>
        <v>Tidak</v>
      </c>
      <c r="G100" s="14" t="s">
        <v>45</v>
      </c>
      <c r="H100" s="2" t="s">
        <v>238</v>
      </c>
      <c r="J100" s="390" t="s">
        <v>243</v>
      </c>
    </row>
    <row r="101" spans="2:10" ht="31.5" customHeight="1" x14ac:dyDescent="0.25">
      <c r="B101" s="509"/>
      <c r="C101" s="15" t="s">
        <v>244</v>
      </c>
      <c r="D101" s="15" t="s">
        <v>245</v>
      </c>
      <c r="E101" s="107">
        <f t="shared" si="8"/>
        <v>87</v>
      </c>
      <c r="F101" s="14" t="str">
        <f t="shared" si="7"/>
        <v>Tidak</v>
      </c>
      <c r="G101" s="14" t="s">
        <v>45</v>
      </c>
      <c r="H101" s="2" t="s">
        <v>238</v>
      </c>
      <c r="J101" s="390" t="s">
        <v>246</v>
      </c>
    </row>
    <row r="102" spans="2:10" x14ac:dyDescent="0.25">
      <c r="B102" s="509"/>
      <c r="C102" s="15" t="s">
        <v>247</v>
      </c>
      <c r="D102" s="15" t="s">
        <v>248</v>
      </c>
      <c r="E102" s="107">
        <f t="shared" si="8"/>
        <v>88</v>
      </c>
      <c r="F102" s="14" t="str">
        <f t="shared" si="7"/>
        <v>Ya</v>
      </c>
      <c r="G102" s="14" t="s">
        <v>45</v>
      </c>
      <c r="H102" s="2" t="s">
        <v>249</v>
      </c>
      <c r="J102" s="390" t="s">
        <v>250</v>
      </c>
    </row>
    <row r="103" spans="2:10" x14ac:dyDescent="0.25">
      <c r="B103" s="509"/>
      <c r="C103" s="15" t="s">
        <v>251</v>
      </c>
      <c r="D103" s="15" t="s">
        <v>252</v>
      </c>
      <c r="E103" s="107">
        <f t="shared" si="8"/>
        <v>89</v>
      </c>
      <c r="F103" s="14" t="str">
        <f t="shared" si="7"/>
        <v>Tidak</v>
      </c>
      <c r="G103" s="14" t="s">
        <v>45</v>
      </c>
      <c r="H103" s="2" t="s">
        <v>238</v>
      </c>
      <c r="J103" s="390" t="s">
        <v>253</v>
      </c>
    </row>
    <row r="104" spans="2:10" x14ac:dyDescent="0.25">
      <c r="B104" s="509"/>
      <c r="C104" s="15" t="s">
        <v>254</v>
      </c>
      <c r="D104" s="15" t="s">
        <v>255</v>
      </c>
      <c r="E104" s="107">
        <f t="shared" si="8"/>
        <v>90</v>
      </c>
      <c r="F104" s="14" t="str">
        <f t="shared" si="7"/>
        <v>Tidak</v>
      </c>
      <c r="G104" s="14" t="s">
        <v>45</v>
      </c>
      <c r="H104" s="2" t="s">
        <v>238</v>
      </c>
      <c r="J104" s="390" t="s">
        <v>256</v>
      </c>
    </row>
    <row r="105" spans="2:10" x14ac:dyDescent="0.25">
      <c r="B105" s="509"/>
      <c r="C105" s="15" t="s">
        <v>257</v>
      </c>
      <c r="D105" s="15" t="s">
        <v>258</v>
      </c>
      <c r="E105" s="107">
        <f t="shared" si="8"/>
        <v>91</v>
      </c>
      <c r="F105" s="14" t="str">
        <f t="shared" si="7"/>
        <v>Tidak</v>
      </c>
      <c r="G105" s="14" t="s">
        <v>45</v>
      </c>
      <c r="H105" s="2" t="s">
        <v>238</v>
      </c>
      <c r="J105" s="390" t="s">
        <v>259</v>
      </c>
    </row>
    <row r="106" spans="2:10" x14ac:dyDescent="0.25">
      <c r="B106" s="509"/>
      <c r="C106" s="15" t="s">
        <v>260</v>
      </c>
      <c r="D106" s="15" t="s">
        <v>261</v>
      </c>
      <c r="E106" s="107">
        <f t="shared" si="8"/>
        <v>92</v>
      </c>
      <c r="F106" s="14" t="str">
        <f t="shared" si="7"/>
        <v>Tidak</v>
      </c>
      <c r="G106" s="14" t="s">
        <v>45</v>
      </c>
      <c r="H106" s="2" t="s">
        <v>238</v>
      </c>
      <c r="J106" s="390" t="s">
        <v>262</v>
      </c>
    </row>
    <row r="107" spans="2:10" x14ac:dyDescent="0.25">
      <c r="B107" s="509"/>
      <c r="C107" s="15" t="s">
        <v>263</v>
      </c>
      <c r="D107" s="15" t="s">
        <v>264</v>
      </c>
      <c r="E107" s="107">
        <f t="shared" si="8"/>
        <v>93</v>
      </c>
      <c r="F107" s="14" t="str">
        <f t="shared" si="7"/>
        <v>Tidak</v>
      </c>
      <c r="G107" s="14" t="s">
        <v>45</v>
      </c>
      <c r="H107" s="2" t="s">
        <v>238</v>
      </c>
      <c r="J107" s="390" t="s">
        <v>265</v>
      </c>
    </row>
    <row r="108" spans="2:10" x14ac:dyDescent="0.25">
      <c r="B108" s="509"/>
      <c r="C108" s="15" t="s">
        <v>266</v>
      </c>
      <c r="D108" s="15" t="s">
        <v>267</v>
      </c>
      <c r="E108" s="107">
        <f t="shared" si="8"/>
        <v>94</v>
      </c>
      <c r="F108" s="14" t="str">
        <f t="shared" si="7"/>
        <v>Tidak</v>
      </c>
      <c r="G108" s="14" t="s">
        <v>45</v>
      </c>
      <c r="H108" s="2" t="s">
        <v>238</v>
      </c>
      <c r="J108" s="390" t="s">
        <v>46</v>
      </c>
    </row>
    <row r="109" spans="2:10" x14ac:dyDescent="0.25">
      <c r="B109" s="509"/>
      <c r="C109" s="15" t="s">
        <v>268</v>
      </c>
      <c r="D109" s="15" t="s">
        <v>269</v>
      </c>
      <c r="E109" s="107">
        <f t="shared" si="8"/>
        <v>95</v>
      </c>
      <c r="F109" s="14" t="str">
        <f t="shared" si="7"/>
        <v>Tidak</v>
      </c>
      <c r="G109" s="14" t="s">
        <v>45</v>
      </c>
      <c r="H109" s="2" t="s">
        <v>238</v>
      </c>
      <c r="J109" s="390"/>
    </row>
    <row r="110" spans="2:10" x14ac:dyDescent="0.25">
      <c r="B110" s="509"/>
      <c r="C110" s="15" t="s">
        <v>270</v>
      </c>
      <c r="D110" s="15" t="s">
        <v>271</v>
      </c>
      <c r="E110" s="107">
        <f t="shared" si="8"/>
        <v>96</v>
      </c>
      <c r="F110" s="14" t="str">
        <f t="shared" si="7"/>
        <v>Tidak</v>
      </c>
      <c r="G110" s="14" t="s">
        <v>45</v>
      </c>
      <c r="H110" s="2" t="s">
        <v>238</v>
      </c>
      <c r="J110" s="390" t="s">
        <v>64</v>
      </c>
    </row>
    <row r="111" spans="2:10" x14ac:dyDescent="0.25">
      <c r="B111" s="509"/>
      <c r="C111" s="15" t="s">
        <v>272</v>
      </c>
      <c r="D111" s="15" t="s">
        <v>273</v>
      </c>
      <c r="E111" s="107">
        <f t="shared" si="8"/>
        <v>97</v>
      </c>
      <c r="F111" s="14" t="str">
        <f t="shared" si="7"/>
        <v>Ya</v>
      </c>
      <c r="G111" s="14" t="s">
        <v>45</v>
      </c>
      <c r="H111" s="2" t="s">
        <v>249</v>
      </c>
      <c r="J111" s="390" t="s">
        <v>243</v>
      </c>
    </row>
    <row r="112" spans="2:10" x14ac:dyDescent="0.25">
      <c r="B112" s="509"/>
      <c r="C112" s="15" t="s">
        <v>274</v>
      </c>
      <c r="D112" s="15" t="s">
        <v>275</v>
      </c>
      <c r="E112" s="107">
        <f t="shared" si="8"/>
        <v>98</v>
      </c>
      <c r="F112" s="14" t="str">
        <f t="shared" si="7"/>
        <v>Tidak</v>
      </c>
      <c r="G112" s="14" t="s">
        <v>45</v>
      </c>
      <c r="H112" s="2" t="s">
        <v>238</v>
      </c>
      <c r="J112" s="390" t="s">
        <v>250</v>
      </c>
    </row>
    <row r="113" spans="2:11" x14ac:dyDescent="0.25">
      <c r="B113" s="510"/>
      <c r="C113" s="15" t="s">
        <v>276</v>
      </c>
      <c r="D113" s="15" t="s">
        <v>277</v>
      </c>
      <c r="E113" s="107">
        <f t="shared" si="8"/>
        <v>99</v>
      </c>
      <c r="F113" s="14" t="str">
        <f t="shared" si="7"/>
        <v>Tidak ada</v>
      </c>
      <c r="G113" s="14" t="s">
        <v>33</v>
      </c>
      <c r="H113" s="2" t="s">
        <v>278</v>
      </c>
      <c r="J113" s="390" t="s">
        <v>253</v>
      </c>
    </row>
    <row r="114" spans="2:11" s="131" customFormat="1" x14ac:dyDescent="0.25">
      <c r="B114" s="130"/>
      <c r="C114" s="45" t="s">
        <v>279</v>
      </c>
      <c r="D114" s="45"/>
      <c r="E114" s="133"/>
      <c r="F114" s="134"/>
      <c r="G114" s="134"/>
      <c r="H114" s="12"/>
      <c r="I114" s="171"/>
      <c r="J114" s="428" t="s">
        <v>280</v>
      </c>
      <c r="K114" s="385"/>
    </row>
    <row r="115" spans="2:11" x14ac:dyDescent="0.25">
      <c r="B115" s="255"/>
      <c r="C115" s="45" t="s">
        <v>281</v>
      </c>
      <c r="D115" s="15"/>
      <c r="E115" s="133"/>
      <c r="F115" s="14"/>
      <c r="G115" s="14"/>
      <c r="J115" s="390" t="s">
        <v>282</v>
      </c>
    </row>
    <row r="116" spans="2:11" x14ac:dyDescent="0.25">
      <c r="B116" s="255"/>
      <c r="C116" s="45" t="s">
        <v>283</v>
      </c>
      <c r="D116" s="15"/>
      <c r="E116" s="133"/>
      <c r="F116" s="14"/>
      <c r="G116" s="14"/>
      <c r="J116" s="390" t="s">
        <v>46</v>
      </c>
    </row>
    <row r="117" spans="2:11" ht="20.25" customHeight="1" x14ac:dyDescent="0.25">
      <c r="B117" s="521">
        <f>B98+1</f>
        <v>204</v>
      </c>
      <c r="C117" s="45" t="s">
        <v>284</v>
      </c>
      <c r="D117" s="15" t="s">
        <v>285</v>
      </c>
      <c r="E117" s="107">
        <f>E113+1</f>
        <v>100</v>
      </c>
      <c r="F117" s="14" t="str">
        <f t="shared" ref="F117:F148" si="9">H117</f>
        <v>Ada</v>
      </c>
      <c r="G117" s="14" t="s">
        <v>45</v>
      </c>
      <c r="H117" s="2" t="s">
        <v>148</v>
      </c>
    </row>
    <row r="118" spans="2:11" ht="20.25" customHeight="1" x14ac:dyDescent="0.25">
      <c r="B118" s="509"/>
      <c r="C118" s="15" t="s">
        <v>286</v>
      </c>
      <c r="D118" s="15" t="s">
        <v>287</v>
      </c>
      <c r="E118" s="107">
        <f t="shared" ref="E118:E149" si="10">E117+1</f>
        <v>101</v>
      </c>
      <c r="F118" s="14" t="str">
        <f t="shared" si="9"/>
        <v>PIKNIK, BERENANG, BERJEMUR</v>
      </c>
      <c r="G118" s="14" t="s">
        <v>33</v>
      </c>
      <c r="H118" s="2" t="s">
        <v>288</v>
      </c>
    </row>
    <row r="119" spans="2:11" x14ac:dyDescent="0.25">
      <c r="B119" s="509"/>
      <c r="C119" s="15" t="s">
        <v>289</v>
      </c>
      <c r="D119" s="15" t="s">
        <v>290</v>
      </c>
      <c r="E119" s="107">
        <f t="shared" si="10"/>
        <v>102</v>
      </c>
      <c r="F119" s="14" t="str">
        <f t="shared" si="9"/>
        <v>Pemerintah</v>
      </c>
      <c r="G119" s="14" t="s">
        <v>45</v>
      </c>
      <c r="H119" s="2" t="s">
        <v>243</v>
      </c>
      <c r="K119" s="385" t="s">
        <v>291</v>
      </c>
    </row>
    <row r="120" spans="2:11" x14ac:dyDescent="0.25">
      <c r="B120" s="509"/>
      <c r="C120" s="15" t="s">
        <v>292</v>
      </c>
      <c r="D120" s="15" t="s">
        <v>293</v>
      </c>
      <c r="E120" s="107">
        <f t="shared" si="10"/>
        <v>103</v>
      </c>
      <c r="F120" s="14" t="str">
        <f t="shared" si="9"/>
        <v>DINAS PARAWISATA</v>
      </c>
      <c r="G120" s="14" t="s">
        <v>33</v>
      </c>
      <c r="H120" s="2" t="s">
        <v>294</v>
      </c>
    </row>
    <row r="121" spans="2:11" x14ac:dyDescent="0.25">
      <c r="B121" s="509"/>
      <c r="C121" s="15" t="s">
        <v>295</v>
      </c>
      <c r="D121" s="15" t="s">
        <v>296</v>
      </c>
      <c r="E121" s="107">
        <f t="shared" si="10"/>
        <v>104</v>
      </c>
      <c r="F121" s="14" t="str">
        <f t="shared" si="9"/>
        <v>Pemerintah</v>
      </c>
      <c r="G121" s="14" t="s">
        <v>45</v>
      </c>
      <c r="H121" s="2" t="s">
        <v>243</v>
      </c>
      <c r="K121" s="385" t="s">
        <v>291</v>
      </c>
    </row>
    <row r="122" spans="2:11" ht="31.5" customHeight="1" x14ac:dyDescent="0.25">
      <c r="B122" s="509"/>
      <c r="C122" s="15" t="s">
        <v>297</v>
      </c>
      <c r="D122" s="15" t="s">
        <v>298</v>
      </c>
      <c r="E122" s="107">
        <f t="shared" si="10"/>
        <v>105</v>
      </c>
      <c r="F122" s="14" t="str">
        <f t="shared" si="9"/>
        <v>PEMERINTAH</v>
      </c>
      <c r="G122" s="14" t="s">
        <v>33</v>
      </c>
      <c r="H122" s="2" t="s">
        <v>299</v>
      </c>
    </row>
    <row r="123" spans="2:11" ht="31.5" customHeight="1" x14ac:dyDescent="0.25">
      <c r="B123" s="510"/>
      <c r="C123" s="15" t="s">
        <v>300</v>
      </c>
      <c r="D123" s="15" t="s">
        <v>301</v>
      </c>
      <c r="E123" s="107">
        <f t="shared" si="10"/>
        <v>106</v>
      </c>
      <c r="F123" s="14">
        <f t="shared" si="9"/>
        <v>500</v>
      </c>
      <c r="G123" s="14" t="s">
        <v>204</v>
      </c>
      <c r="H123" s="2">
        <v>500</v>
      </c>
      <c r="J123" s="174" t="s">
        <v>302</v>
      </c>
      <c r="K123" s="385" t="s">
        <v>291</v>
      </c>
    </row>
    <row r="124" spans="2:11" x14ac:dyDescent="0.25">
      <c r="B124" s="521">
        <f>B117+1</f>
        <v>205</v>
      </c>
      <c r="C124" s="45" t="s">
        <v>303</v>
      </c>
      <c r="D124" s="15" t="s">
        <v>304</v>
      </c>
      <c r="E124" s="107">
        <f t="shared" si="10"/>
        <v>107</v>
      </c>
      <c r="F124" s="14" t="str">
        <f t="shared" si="9"/>
        <v>Tidak Ada</v>
      </c>
      <c r="G124" s="14" t="s">
        <v>45</v>
      </c>
      <c r="H124" s="2" t="s">
        <v>64</v>
      </c>
    </row>
    <row r="125" spans="2:11" x14ac:dyDescent="0.25">
      <c r="B125" s="509"/>
      <c r="C125" s="15" t="s">
        <v>305</v>
      </c>
      <c r="D125" s="15" t="s">
        <v>306</v>
      </c>
      <c r="E125" s="107">
        <f t="shared" si="10"/>
        <v>108</v>
      </c>
      <c r="F125" s="14" t="str">
        <f t="shared" si="9"/>
        <v>TIDAK ADA</v>
      </c>
      <c r="G125" s="14" t="s">
        <v>33</v>
      </c>
      <c r="H125" s="2" t="s">
        <v>307</v>
      </c>
    </row>
    <row r="126" spans="2:11" x14ac:dyDescent="0.25">
      <c r="B126" s="509"/>
      <c r="C126" s="15" t="s">
        <v>308</v>
      </c>
      <c r="D126" s="15" t="s">
        <v>309</v>
      </c>
      <c r="E126" s="107">
        <f t="shared" si="10"/>
        <v>109</v>
      </c>
      <c r="F126" s="14" t="str">
        <f t="shared" si="9"/>
        <v>Tidak Ada</v>
      </c>
      <c r="G126" s="14" t="s">
        <v>45</v>
      </c>
      <c r="H126" s="2" t="s">
        <v>64</v>
      </c>
      <c r="K126" s="385" t="s">
        <v>310</v>
      </c>
    </row>
    <row r="127" spans="2:11" x14ac:dyDescent="0.25">
      <c r="B127" s="509"/>
      <c r="C127" s="15" t="s">
        <v>311</v>
      </c>
      <c r="D127" s="15" t="s">
        <v>312</v>
      </c>
      <c r="E127" s="107">
        <f t="shared" si="10"/>
        <v>110</v>
      </c>
      <c r="F127" s="14" t="str">
        <f t="shared" si="9"/>
        <v>TIDAK ADA</v>
      </c>
      <c r="G127" s="14" t="s">
        <v>33</v>
      </c>
      <c r="H127" s="2" t="s">
        <v>307</v>
      </c>
    </row>
    <row r="128" spans="2:11" x14ac:dyDescent="0.25">
      <c r="B128" s="509"/>
      <c r="C128" s="15" t="s">
        <v>313</v>
      </c>
      <c r="D128" s="15" t="s">
        <v>314</v>
      </c>
      <c r="E128" s="107">
        <f t="shared" si="10"/>
        <v>111</v>
      </c>
      <c r="F128" s="14" t="str">
        <f t="shared" si="9"/>
        <v>Tidak Ada</v>
      </c>
      <c r="G128" s="14" t="s">
        <v>45</v>
      </c>
      <c r="H128" s="2" t="s">
        <v>64</v>
      </c>
      <c r="K128" s="385" t="s">
        <v>310</v>
      </c>
    </row>
    <row r="129" spans="2:11" ht="31.5" customHeight="1" x14ac:dyDescent="0.25">
      <c r="B129" s="509"/>
      <c r="C129" s="15" t="s">
        <v>315</v>
      </c>
      <c r="D129" s="15" t="s">
        <v>316</v>
      </c>
      <c r="E129" s="107">
        <f t="shared" si="10"/>
        <v>112</v>
      </c>
      <c r="F129" s="14" t="str">
        <f t="shared" si="9"/>
        <v>TIDAK ADA</v>
      </c>
      <c r="G129" s="14" t="s">
        <v>33</v>
      </c>
      <c r="H129" s="2" t="s">
        <v>307</v>
      </c>
    </row>
    <row r="130" spans="2:11" ht="31.5" customHeight="1" x14ac:dyDescent="0.25">
      <c r="B130" s="510"/>
      <c r="C130" s="15" t="s">
        <v>317</v>
      </c>
      <c r="D130" s="15" t="s">
        <v>318</v>
      </c>
      <c r="E130" s="107">
        <f t="shared" si="10"/>
        <v>113</v>
      </c>
      <c r="F130" s="14">
        <f t="shared" si="9"/>
        <v>0</v>
      </c>
      <c r="G130" s="14" t="s">
        <v>204</v>
      </c>
      <c r="H130" s="2">
        <v>0</v>
      </c>
      <c r="J130" s="174" t="s">
        <v>302</v>
      </c>
      <c r="K130" s="385" t="s">
        <v>310</v>
      </c>
    </row>
    <row r="131" spans="2:11" x14ac:dyDescent="0.25">
      <c r="B131" s="521">
        <f>B124+1</f>
        <v>206</v>
      </c>
      <c r="C131" s="45" t="s">
        <v>319</v>
      </c>
      <c r="D131" s="15" t="s">
        <v>320</v>
      </c>
      <c r="E131" s="107">
        <f t="shared" si="10"/>
        <v>114</v>
      </c>
      <c r="F131" s="14" t="str">
        <f t="shared" si="9"/>
        <v>Ada</v>
      </c>
      <c r="G131" s="14" t="s">
        <v>45</v>
      </c>
      <c r="H131" s="2" t="s">
        <v>148</v>
      </c>
    </row>
    <row r="132" spans="2:11" ht="31.5" x14ac:dyDescent="0.25">
      <c r="B132" s="509"/>
      <c r="C132" s="15" t="s">
        <v>321</v>
      </c>
      <c r="D132" s="15" t="s">
        <v>322</v>
      </c>
      <c r="E132" s="107">
        <f t="shared" si="10"/>
        <v>115</v>
      </c>
      <c r="F132" s="14" t="str">
        <f t="shared" si="9"/>
        <v>MENYELAM, SNORKLING DAN MEMANCING</v>
      </c>
      <c r="G132" s="14" t="s">
        <v>33</v>
      </c>
      <c r="H132" s="2" t="s">
        <v>323</v>
      </c>
    </row>
    <row r="133" spans="2:11" x14ac:dyDescent="0.25">
      <c r="B133" s="509"/>
      <c r="C133" s="15" t="s">
        <v>324</v>
      </c>
      <c r="D133" s="15" t="s">
        <v>325</v>
      </c>
      <c r="E133" s="107">
        <f t="shared" si="10"/>
        <v>116</v>
      </c>
      <c r="F133" s="14" t="str">
        <f t="shared" si="9"/>
        <v>Kelompok</v>
      </c>
      <c r="G133" s="14" t="s">
        <v>45</v>
      </c>
      <c r="H133" s="2" t="s">
        <v>262</v>
      </c>
      <c r="K133" s="385" t="s">
        <v>326</v>
      </c>
    </row>
    <row r="134" spans="2:11" x14ac:dyDescent="0.25">
      <c r="B134" s="509"/>
      <c r="C134" s="15" t="s">
        <v>327</v>
      </c>
      <c r="D134" s="15" t="s">
        <v>328</v>
      </c>
      <c r="E134" s="107">
        <f t="shared" si="10"/>
        <v>117</v>
      </c>
      <c r="F134" s="14" t="str">
        <f t="shared" si="9"/>
        <v>MASYARAKAT SETEMPAT</v>
      </c>
      <c r="G134" s="14" t="s">
        <v>33</v>
      </c>
      <c r="H134" s="2" t="s">
        <v>329</v>
      </c>
    </row>
    <row r="135" spans="2:11" ht="31.5" customHeight="1" x14ac:dyDescent="0.25">
      <c r="B135" s="509"/>
      <c r="C135" s="15" t="s">
        <v>330</v>
      </c>
      <c r="D135" s="15" t="s">
        <v>331</v>
      </c>
      <c r="E135" s="107">
        <f t="shared" si="10"/>
        <v>118</v>
      </c>
      <c r="F135" s="14" t="str">
        <f t="shared" si="9"/>
        <v>Lainnya</v>
      </c>
      <c r="G135" s="14" t="s">
        <v>45</v>
      </c>
      <c r="H135" s="2" t="s">
        <v>46</v>
      </c>
      <c r="K135" s="385" t="s">
        <v>326</v>
      </c>
    </row>
    <row r="136" spans="2:11" ht="31.5" customHeight="1" x14ac:dyDescent="0.25">
      <c r="B136" s="509"/>
      <c r="C136" s="15" t="s">
        <v>332</v>
      </c>
      <c r="D136" s="15" t="s">
        <v>333</v>
      </c>
      <c r="E136" s="107">
        <f t="shared" si="10"/>
        <v>119</v>
      </c>
      <c r="F136" s="14" t="str">
        <f t="shared" si="9"/>
        <v>MASYARAKAT</v>
      </c>
      <c r="G136" s="14" t="s">
        <v>33</v>
      </c>
      <c r="H136" s="2" t="s">
        <v>334</v>
      </c>
    </row>
    <row r="137" spans="2:11" ht="31.5" customHeight="1" x14ac:dyDescent="0.25">
      <c r="B137" s="510"/>
      <c r="C137" s="15" t="s">
        <v>335</v>
      </c>
      <c r="D137" s="15" t="s">
        <v>336</v>
      </c>
      <c r="E137" s="107">
        <f t="shared" si="10"/>
        <v>120</v>
      </c>
      <c r="F137" s="14">
        <f t="shared" si="9"/>
        <v>42</v>
      </c>
      <c r="G137" s="14" t="s">
        <v>204</v>
      </c>
      <c r="H137" s="2">
        <v>42</v>
      </c>
      <c r="J137" s="174" t="s">
        <v>302</v>
      </c>
      <c r="K137" s="385" t="s">
        <v>326</v>
      </c>
    </row>
    <row r="138" spans="2:11" x14ac:dyDescent="0.25">
      <c r="B138" s="521">
        <f>B131+1</f>
        <v>207</v>
      </c>
      <c r="C138" s="45" t="s">
        <v>337</v>
      </c>
      <c r="D138" s="15" t="s">
        <v>338</v>
      </c>
      <c r="E138" s="107">
        <f t="shared" si="10"/>
        <v>121</v>
      </c>
      <c r="F138" s="14" t="str">
        <f t="shared" si="9"/>
        <v>Tidak Ada</v>
      </c>
      <c r="G138" s="14" t="s">
        <v>45</v>
      </c>
      <c r="H138" s="2" t="s">
        <v>64</v>
      </c>
    </row>
    <row r="139" spans="2:11" x14ac:dyDescent="0.25">
      <c r="B139" s="509"/>
      <c r="C139" s="15" t="s">
        <v>339</v>
      </c>
      <c r="D139" s="15" t="s">
        <v>340</v>
      </c>
      <c r="E139" s="107">
        <f t="shared" si="10"/>
        <v>122</v>
      </c>
      <c r="F139" s="14" t="str">
        <f t="shared" si="9"/>
        <v>TIDAK ADA</v>
      </c>
      <c r="G139" s="14" t="s">
        <v>33</v>
      </c>
      <c r="H139" s="2" t="s">
        <v>307</v>
      </c>
    </row>
    <row r="140" spans="2:11" x14ac:dyDescent="0.25">
      <c r="B140" s="509"/>
      <c r="C140" s="15" t="s">
        <v>341</v>
      </c>
      <c r="D140" s="15" t="s">
        <v>342</v>
      </c>
      <c r="E140" s="107">
        <f t="shared" si="10"/>
        <v>123</v>
      </c>
      <c r="F140" s="14" t="str">
        <f t="shared" si="9"/>
        <v>Tidak Ada</v>
      </c>
      <c r="G140" s="14" t="s">
        <v>45</v>
      </c>
      <c r="H140" s="2" t="s">
        <v>64</v>
      </c>
      <c r="K140" s="385" t="s">
        <v>343</v>
      </c>
    </row>
    <row r="141" spans="2:11" x14ac:dyDescent="0.25">
      <c r="B141" s="509"/>
      <c r="C141" s="15" t="s">
        <v>344</v>
      </c>
      <c r="D141" s="15" t="s">
        <v>345</v>
      </c>
      <c r="E141" s="107">
        <f t="shared" si="10"/>
        <v>124</v>
      </c>
      <c r="F141" s="14" t="str">
        <f t="shared" si="9"/>
        <v>TIDAK ADA</v>
      </c>
      <c r="G141" s="14" t="s">
        <v>33</v>
      </c>
      <c r="H141" s="2" t="s">
        <v>307</v>
      </c>
    </row>
    <row r="142" spans="2:11" x14ac:dyDescent="0.25">
      <c r="B142" s="509"/>
      <c r="C142" s="15" t="s">
        <v>346</v>
      </c>
      <c r="D142" s="15" t="s">
        <v>347</v>
      </c>
      <c r="E142" s="107">
        <f t="shared" si="10"/>
        <v>125</v>
      </c>
      <c r="F142" s="14" t="str">
        <f t="shared" si="9"/>
        <v>Tidak Ada</v>
      </c>
      <c r="G142" s="14" t="s">
        <v>45</v>
      </c>
      <c r="H142" s="2" t="s">
        <v>64</v>
      </c>
      <c r="K142" s="385" t="s">
        <v>343</v>
      </c>
    </row>
    <row r="143" spans="2:11" ht="31.5" customHeight="1" x14ac:dyDescent="0.25">
      <c r="B143" s="509"/>
      <c r="C143" s="15" t="s">
        <v>348</v>
      </c>
      <c r="D143" s="15" t="s">
        <v>349</v>
      </c>
      <c r="E143" s="107">
        <f t="shared" si="10"/>
        <v>126</v>
      </c>
      <c r="F143" s="14" t="str">
        <f t="shared" si="9"/>
        <v>TIDAK ADA</v>
      </c>
      <c r="G143" s="14" t="s">
        <v>33</v>
      </c>
      <c r="H143" s="2" t="s">
        <v>307</v>
      </c>
    </row>
    <row r="144" spans="2:11" ht="31.5" customHeight="1" x14ac:dyDescent="0.25">
      <c r="B144" s="510"/>
      <c r="C144" s="15" t="s">
        <v>350</v>
      </c>
      <c r="D144" s="15" t="s">
        <v>351</v>
      </c>
      <c r="E144" s="107">
        <f t="shared" si="10"/>
        <v>127</v>
      </c>
      <c r="F144" s="14">
        <f t="shared" si="9"/>
        <v>0</v>
      </c>
      <c r="G144" s="14" t="s">
        <v>204</v>
      </c>
      <c r="H144" s="2">
        <v>0</v>
      </c>
      <c r="J144" s="174" t="s">
        <v>302</v>
      </c>
      <c r="K144" s="385" t="s">
        <v>343</v>
      </c>
    </row>
    <row r="145" spans="2:11" x14ac:dyDescent="0.25">
      <c r="B145" s="521">
        <f>B138+1</f>
        <v>208</v>
      </c>
      <c r="C145" s="45" t="s">
        <v>352</v>
      </c>
      <c r="D145" s="15" t="s">
        <v>353</v>
      </c>
      <c r="E145" s="107">
        <f t="shared" si="10"/>
        <v>128</v>
      </c>
      <c r="F145" s="14" t="str">
        <f t="shared" si="9"/>
        <v>Tidak Ada</v>
      </c>
      <c r="G145" s="14" t="s">
        <v>45</v>
      </c>
      <c r="H145" s="2" t="s">
        <v>64</v>
      </c>
    </row>
    <row r="146" spans="2:11" x14ac:dyDescent="0.25">
      <c r="B146" s="509"/>
      <c r="C146" s="15" t="s">
        <v>354</v>
      </c>
      <c r="D146" s="15" t="s">
        <v>355</v>
      </c>
      <c r="E146" s="107">
        <f t="shared" si="10"/>
        <v>129</v>
      </c>
      <c r="F146" s="14" t="str">
        <f t="shared" si="9"/>
        <v>TIDAK ADA</v>
      </c>
      <c r="G146" s="14" t="s">
        <v>33</v>
      </c>
      <c r="H146" s="2" t="s">
        <v>307</v>
      </c>
    </row>
    <row r="147" spans="2:11" x14ac:dyDescent="0.25">
      <c r="B147" s="509"/>
      <c r="C147" s="15" t="s">
        <v>356</v>
      </c>
      <c r="D147" s="15" t="s">
        <v>357</v>
      </c>
      <c r="E147" s="107">
        <f t="shared" si="10"/>
        <v>130</v>
      </c>
      <c r="F147" s="14" t="str">
        <f t="shared" si="9"/>
        <v>Tidak Ada</v>
      </c>
      <c r="G147" s="14" t="s">
        <v>45</v>
      </c>
      <c r="H147" s="2" t="s">
        <v>64</v>
      </c>
      <c r="K147" s="385" t="s">
        <v>358</v>
      </c>
    </row>
    <row r="148" spans="2:11" x14ac:dyDescent="0.25">
      <c r="B148" s="509"/>
      <c r="C148" s="15" t="s">
        <v>359</v>
      </c>
      <c r="D148" s="15" t="s">
        <v>360</v>
      </c>
      <c r="E148" s="107">
        <f t="shared" si="10"/>
        <v>131</v>
      </c>
      <c r="F148" s="14" t="str">
        <f t="shared" si="9"/>
        <v>TIDAK ADA</v>
      </c>
      <c r="G148" s="14" t="s">
        <v>33</v>
      </c>
      <c r="H148" s="2" t="s">
        <v>307</v>
      </c>
    </row>
    <row r="149" spans="2:11" x14ac:dyDescent="0.25">
      <c r="B149" s="509"/>
      <c r="C149" s="15" t="s">
        <v>361</v>
      </c>
      <c r="D149" s="15" t="s">
        <v>362</v>
      </c>
      <c r="E149" s="107">
        <f t="shared" si="10"/>
        <v>132</v>
      </c>
      <c r="F149" s="14" t="str">
        <f t="shared" ref="F149:F173" si="11">H149</f>
        <v>Tidak Ada</v>
      </c>
      <c r="G149" s="14" t="s">
        <v>45</v>
      </c>
      <c r="H149" s="2" t="s">
        <v>64</v>
      </c>
      <c r="K149" s="385" t="s">
        <v>358</v>
      </c>
    </row>
    <row r="150" spans="2:11" ht="31.5" customHeight="1" x14ac:dyDescent="0.25">
      <c r="B150" s="509"/>
      <c r="C150" s="15" t="s">
        <v>363</v>
      </c>
      <c r="D150" s="15" t="s">
        <v>364</v>
      </c>
      <c r="E150" s="107">
        <f t="shared" ref="E150:E173" si="12">E149+1</f>
        <v>133</v>
      </c>
      <c r="F150" s="14" t="str">
        <f t="shared" si="11"/>
        <v>TIDAK ADA</v>
      </c>
      <c r="G150" s="14" t="s">
        <v>33</v>
      </c>
      <c r="H150" s="2" t="s">
        <v>307</v>
      </c>
    </row>
    <row r="151" spans="2:11" ht="31.5" customHeight="1" x14ac:dyDescent="0.25">
      <c r="B151" s="510"/>
      <c r="C151" s="15" t="s">
        <v>365</v>
      </c>
      <c r="D151" s="15" t="s">
        <v>366</v>
      </c>
      <c r="E151" s="107">
        <f t="shared" si="12"/>
        <v>134</v>
      </c>
      <c r="F151" s="14">
        <f t="shared" si="11"/>
        <v>0</v>
      </c>
      <c r="G151" s="14" t="s">
        <v>204</v>
      </c>
      <c r="H151" s="2">
        <v>0</v>
      </c>
      <c r="J151" s="174" t="s">
        <v>302</v>
      </c>
      <c r="K151" s="385" t="s">
        <v>358</v>
      </c>
    </row>
    <row r="152" spans="2:11" x14ac:dyDescent="0.25">
      <c r="B152" s="521">
        <f>B145+1</f>
        <v>209</v>
      </c>
      <c r="C152" s="45" t="s">
        <v>367</v>
      </c>
      <c r="D152" s="15" t="s">
        <v>368</v>
      </c>
      <c r="E152" s="107">
        <f t="shared" si="12"/>
        <v>135</v>
      </c>
      <c r="F152" s="14" t="str">
        <f t="shared" si="11"/>
        <v>Tidak Ada</v>
      </c>
      <c r="G152" s="14" t="s">
        <v>45</v>
      </c>
      <c r="H152" s="2" t="s">
        <v>64</v>
      </c>
    </row>
    <row r="153" spans="2:11" x14ac:dyDescent="0.25">
      <c r="B153" s="509"/>
      <c r="C153" s="15" t="s">
        <v>369</v>
      </c>
      <c r="D153" s="15" t="s">
        <v>370</v>
      </c>
      <c r="E153" s="107">
        <f t="shared" si="12"/>
        <v>136</v>
      </c>
      <c r="F153" s="14" t="str">
        <f t="shared" si="11"/>
        <v>TIDAK ADA</v>
      </c>
      <c r="G153" s="14" t="s">
        <v>33</v>
      </c>
      <c r="H153" s="2" t="s">
        <v>307</v>
      </c>
    </row>
    <row r="154" spans="2:11" x14ac:dyDescent="0.25">
      <c r="B154" s="509"/>
      <c r="C154" s="15" t="s">
        <v>371</v>
      </c>
      <c r="D154" s="15" t="s">
        <v>372</v>
      </c>
      <c r="E154" s="107">
        <f t="shared" si="12"/>
        <v>137</v>
      </c>
      <c r="F154" s="14" t="str">
        <f t="shared" si="11"/>
        <v>Tidak Ada</v>
      </c>
      <c r="G154" s="14" t="s">
        <v>45</v>
      </c>
      <c r="H154" s="2" t="s">
        <v>64</v>
      </c>
      <c r="K154" s="385" t="s">
        <v>373</v>
      </c>
    </row>
    <row r="155" spans="2:11" x14ac:dyDescent="0.25">
      <c r="B155" s="509"/>
      <c r="C155" s="15" t="s">
        <v>374</v>
      </c>
      <c r="D155" s="15" t="s">
        <v>375</v>
      </c>
      <c r="E155" s="107">
        <f t="shared" si="12"/>
        <v>138</v>
      </c>
      <c r="F155" s="14" t="str">
        <f t="shared" si="11"/>
        <v>TIDAK ADA</v>
      </c>
      <c r="G155" s="14" t="s">
        <v>33</v>
      </c>
      <c r="H155" s="2" t="s">
        <v>307</v>
      </c>
    </row>
    <row r="156" spans="2:11" x14ac:dyDescent="0.25">
      <c r="B156" s="509"/>
      <c r="C156" s="15" t="s">
        <v>376</v>
      </c>
      <c r="D156" s="15" t="s">
        <v>377</v>
      </c>
      <c r="E156" s="107">
        <f t="shared" si="12"/>
        <v>139</v>
      </c>
      <c r="F156" s="14" t="str">
        <f t="shared" si="11"/>
        <v>Tidak Ada</v>
      </c>
      <c r="G156" s="14" t="s">
        <v>45</v>
      </c>
      <c r="H156" s="2" t="s">
        <v>64</v>
      </c>
      <c r="K156" s="385" t="s">
        <v>373</v>
      </c>
    </row>
    <row r="157" spans="2:11" ht="31.5" customHeight="1" x14ac:dyDescent="0.25">
      <c r="B157" s="509"/>
      <c r="C157" s="15" t="s">
        <v>378</v>
      </c>
      <c r="D157" s="15" t="s">
        <v>379</v>
      </c>
      <c r="E157" s="107">
        <f t="shared" si="12"/>
        <v>140</v>
      </c>
      <c r="F157" s="14" t="str">
        <f t="shared" si="11"/>
        <v>TIDAK ADA</v>
      </c>
      <c r="G157" s="14" t="s">
        <v>33</v>
      </c>
      <c r="H157" s="2" t="s">
        <v>307</v>
      </c>
    </row>
    <row r="158" spans="2:11" ht="31.5" customHeight="1" x14ac:dyDescent="0.25">
      <c r="B158" s="510"/>
      <c r="C158" s="15" t="s">
        <v>380</v>
      </c>
      <c r="D158" s="15" t="s">
        <v>381</v>
      </c>
      <c r="E158" s="107">
        <f t="shared" si="12"/>
        <v>141</v>
      </c>
      <c r="F158" s="14">
        <f t="shared" si="11"/>
        <v>0</v>
      </c>
      <c r="G158" s="14" t="s">
        <v>204</v>
      </c>
      <c r="H158" s="2">
        <v>0</v>
      </c>
      <c r="J158" s="174" t="s">
        <v>302</v>
      </c>
      <c r="K158" s="385" t="s">
        <v>373</v>
      </c>
    </row>
    <row r="159" spans="2:11" x14ac:dyDescent="0.25">
      <c r="B159" s="521">
        <f>B152+1</f>
        <v>210</v>
      </c>
      <c r="C159" s="45" t="s">
        <v>382</v>
      </c>
      <c r="D159" s="15" t="s">
        <v>383</v>
      </c>
      <c r="E159" s="107">
        <f t="shared" si="12"/>
        <v>142</v>
      </c>
      <c r="F159" s="14" t="str">
        <f t="shared" si="11"/>
        <v>Tidak Ada</v>
      </c>
      <c r="G159" s="14" t="s">
        <v>45</v>
      </c>
      <c r="H159" s="2" t="s">
        <v>64</v>
      </c>
    </row>
    <row r="160" spans="2:11" x14ac:dyDescent="0.25">
      <c r="B160" s="509"/>
      <c r="C160" s="15" t="s">
        <v>384</v>
      </c>
      <c r="D160" s="15" t="s">
        <v>385</v>
      </c>
      <c r="E160" s="107">
        <f t="shared" si="12"/>
        <v>143</v>
      </c>
      <c r="F160" s="14" t="str">
        <f t="shared" si="11"/>
        <v>TIDAK ADA</v>
      </c>
      <c r="G160" s="14" t="s">
        <v>33</v>
      </c>
      <c r="H160" s="2" t="s">
        <v>307</v>
      </c>
    </row>
    <row r="161" spans="2:11" x14ac:dyDescent="0.25">
      <c r="B161" s="509"/>
      <c r="C161" s="15" t="s">
        <v>386</v>
      </c>
      <c r="D161" s="15" t="s">
        <v>387</v>
      </c>
      <c r="E161" s="107">
        <f t="shared" si="12"/>
        <v>144</v>
      </c>
      <c r="F161" s="14" t="str">
        <f t="shared" si="11"/>
        <v>Tidak Ada</v>
      </c>
      <c r="G161" s="14" t="s">
        <v>45</v>
      </c>
      <c r="H161" s="2" t="s">
        <v>64</v>
      </c>
      <c r="K161" s="385" t="s">
        <v>388</v>
      </c>
    </row>
    <row r="162" spans="2:11" x14ac:dyDescent="0.25">
      <c r="B162" s="509"/>
      <c r="C162" s="15" t="s">
        <v>389</v>
      </c>
      <c r="D162" s="15" t="s">
        <v>390</v>
      </c>
      <c r="E162" s="107">
        <f t="shared" si="12"/>
        <v>145</v>
      </c>
      <c r="F162" s="14" t="str">
        <f t="shared" si="11"/>
        <v>TIDAK ADA</v>
      </c>
      <c r="G162" s="14" t="s">
        <v>33</v>
      </c>
      <c r="H162" s="2" t="s">
        <v>307</v>
      </c>
    </row>
    <row r="163" spans="2:11" ht="31.5" customHeight="1" x14ac:dyDescent="0.25">
      <c r="B163" s="509"/>
      <c r="C163" s="15" t="s">
        <v>391</v>
      </c>
      <c r="D163" s="15" t="s">
        <v>392</v>
      </c>
      <c r="E163" s="107">
        <f t="shared" si="12"/>
        <v>146</v>
      </c>
      <c r="F163" s="14" t="str">
        <f t="shared" si="11"/>
        <v>Tidak Ada</v>
      </c>
      <c r="G163" s="14" t="s">
        <v>45</v>
      </c>
      <c r="H163" s="2" t="s">
        <v>64</v>
      </c>
      <c r="K163" s="385" t="s">
        <v>388</v>
      </c>
    </row>
    <row r="164" spans="2:11" ht="42" customHeight="1" x14ac:dyDescent="0.25">
      <c r="B164" s="509"/>
      <c r="C164" s="15" t="s">
        <v>393</v>
      </c>
      <c r="D164" s="15" t="s">
        <v>394</v>
      </c>
      <c r="E164" s="107">
        <f t="shared" si="12"/>
        <v>147</v>
      </c>
      <c r="F164" s="14" t="str">
        <f t="shared" si="11"/>
        <v>TIDAK ADA</v>
      </c>
      <c r="G164" s="14" t="s">
        <v>33</v>
      </c>
      <c r="H164" s="2" t="s">
        <v>307</v>
      </c>
    </row>
    <row r="165" spans="2:11" ht="42" customHeight="1" x14ac:dyDescent="0.25">
      <c r="B165" s="510"/>
      <c r="C165" s="15" t="s">
        <v>395</v>
      </c>
      <c r="D165" s="15" t="s">
        <v>396</v>
      </c>
      <c r="E165" s="107">
        <f t="shared" si="12"/>
        <v>148</v>
      </c>
      <c r="F165" s="14">
        <f t="shared" si="11"/>
        <v>0</v>
      </c>
      <c r="G165" s="14" t="s">
        <v>204</v>
      </c>
      <c r="H165" s="2">
        <v>0</v>
      </c>
      <c r="J165" s="174" t="s">
        <v>302</v>
      </c>
      <c r="K165" s="385" t="s">
        <v>388</v>
      </c>
    </row>
    <row r="166" spans="2:11" x14ac:dyDescent="0.25">
      <c r="B166" s="521">
        <f>B159+1</f>
        <v>211</v>
      </c>
      <c r="C166" s="45" t="s">
        <v>397</v>
      </c>
      <c r="D166" s="15" t="s">
        <v>398</v>
      </c>
      <c r="E166" s="107">
        <f t="shared" si="12"/>
        <v>149</v>
      </c>
      <c r="F166" s="14" t="str">
        <f t="shared" si="11"/>
        <v>Ada</v>
      </c>
      <c r="G166" s="14" t="s">
        <v>45</v>
      </c>
      <c r="H166" s="2" t="s">
        <v>148</v>
      </c>
    </row>
    <row r="167" spans="2:11" x14ac:dyDescent="0.25">
      <c r="B167" s="509"/>
      <c r="C167" s="15" t="s">
        <v>399</v>
      </c>
      <c r="D167" s="15" t="s">
        <v>400</v>
      </c>
      <c r="E167" s="107">
        <f t="shared" si="12"/>
        <v>150</v>
      </c>
      <c r="F167" s="14" t="str">
        <f t="shared" si="11"/>
        <v>PUNCAK</v>
      </c>
      <c r="G167" s="14" t="s">
        <v>33</v>
      </c>
      <c r="H167" s="2" t="s">
        <v>401</v>
      </c>
    </row>
    <row r="168" spans="2:11" x14ac:dyDescent="0.25">
      <c r="B168" s="509"/>
      <c r="C168" s="15" t="s">
        <v>402</v>
      </c>
      <c r="D168" s="15" t="s">
        <v>403</v>
      </c>
      <c r="E168" s="107">
        <f t="shared" si="12"/>
        <v>151</v>
      </c>
      <c r="F168" s="14" t="str">
        <f t="shared" si="11"/>
        <v>TEMPAT BERFOTO</v>
      </c>
      <c r="G168" s="14" t="s">
        <v>33</v>
      </c>
      <c r="H168" s="2" t="s">
        <v>404</v>
      </c>
    </row>
    <row r="169" spans="2:11" x14ac:dyDescent="0.25">
      <c r="B169" s="509"/>
      <c r="C169" s="15" t="s">
        <v>405</v>
      </c>
      <c r="D169" s="15" t="s">
        <v>406</v>
      </c>
      <c r="E169" s="107">
        <f t="shared" si="12"/>
        <v>152</v>
      </c>
      <c r="F169" s="14" t="str">
        <f t="shared" si="11"/>
        <v>Pemerintah</v>
      </c>
      <c r="G169" s="14" t="s">
        <v>45</v>
      </c>
      <c r="H169" s="2" t="s">
        <v>243</v>
      </c>
      <c r="K169" s="385" t="s">
        <v>407</v>
      </c>
    </row>
    <row r="170" spans="2:11" x14ac:dyDescent="0.25">
      <c r="B170" s="509"/>
      <c r="C170" s="15" t="s">
        <v>408</v>
      </c>
      <c r="D170" s="15" t="s">
        <v>409</v>
      </c>
      <c r="E170" s="107">
        <f t="shared" si="12"/>
        <v>153</v>
      </c>
      <c r="F170" s="14" t="str">
        <f t="shared" si="11"/>
        <v>DINAS PARAWISATA</v>
      </c>
      <c r="G170" s="14" t="s">
        <v>33</v>
      </c>
      <c r="H170" s="2" t="s">
        <v>294</v>
      </c>
    </row>
    <row r="171" spans="2:11" x14ac:dyDescent="0.25">
      <c r="B171" s="509"/>
      <c r="C171" s="15" t="s">
        <v>410</v>
      </c>
      <c r="D171" s="15" t="s">
        <v>411</v>
      </c>
      <c r="E171" s="107">
        <f t="shared" si="12"/>
        <v>154</v>
      </c>
      <c r="F171" s="14" t="str">
        <f t="shared" si="11"/>
        <v>Pemerintah</v>
      </c>
      <c r="G171" s="14" t="s">
        <v>45</v>
      </c>
      <c r="H171" s="2" t="s">
        <v>243</v>
      </c>
      <c r="K171" s="385" t="s">
        <v>407</v>
      </c>
    </row>
    <row r="172" spans="2:11" ht="31.5" customHeight="1" x14ac:dyDescent="0.25">
      <c r="B172" s="509"/>
      <c r="C172" s="15" t="s">
        <v>412</v>
      </c>
      <c r="D172" s="15" t="s">
        <v>413</v>
      </c>
      <c r="E172" s="107">
        <f t="shared" si="12"/>
        <v>155</v>
      </c>
      <c r="F172" s="14" t="str">
        <f t="shared" si="11"/>
        <v>TIDAK ADA</v>
      </c>
      <c r="G172" s="14" t="s">
        <v>33</v>
      </c>
      <c r="H172" s="2" t="s">
        <v>307</v>
      </c>
    </row>
    <row r="173" spans="2:11" x14ac:dyDescent="0.25">
      <c r="B173" s="510"/>
      <c r="C173" s="15" t="s">
        <v>414</v>
      </c>
      <c r="D173" s="15" t="s">
        <v>415</v>
      </c>
      <c r="E173" s="107">
        <f t="shared" si="12"/>
        <v>156</v>
      </c>
      <c r="F173" s="14">
        <f t="shared" si="11"/>
        <v>1</v>
      </c>
      <c r="G173" s="14" t="s">
        <v>204</v>
      </c>
      <c r="H173" s="2">
        <v>1</v>
      </c>
      <c r="J173" s="174" t="s">
        <v>302</v>
      </c>
      <c r="K173" s="385" t="s">
        <v>407</v>
      </c>
    </row>
    <row r="174" spans="2:11" x14ac:dyDescent="0.25">
      <c r="B174" s="255"/>
      <c r="C174" s="45" t="s">
        <v>416</v>
      </c>
      <c r="D174" s="45"/>
      <c r="E174" s="133"/>
      <c r="F174" s="14"/>
      <c r="G174" s="14"/>
    </row>
    <row r="175" spans="2:11" x14ac:dyDescent="0.25">
      <c r="B175" s="521">
        <f>B166+1</f>
        <v>212</v>
      </c>
      <c r="C175" s="45" t="s">
        <v>417</v>
      </c>
      <c r="D175" s="15" t="s">
        <v>418</v>
      </c>
      <c r="E175" s="107">
        <f>E173+1</f>
        <v>157</v>
      </c>
      <c r="F175" s="14" t="str">
        <f t="shared" ref="F175:F203" si="13">H175</f>
        <v>Tidak Ada</v>
      </c>
      <c r="G175" s="14" t="s">
        <v>45</v>
      </c>
      <c r="H175" s="2" t="s">
        <v>64</v>
      </c>
    </row>
    <row r="176" spans="2:11" x14ac:dyDescent="0.25">
      <c r="B176" s="509"/>
      <c r="C176" s="15" t="s">
        <v>419</v>
      </c>
      <c r="D176" s="15" t="s">
        <v>420</v>
      </c>
      <c r="E176" s="107">
        <f t="shared" ref="E176:E203" si="14">E175+1</f>
        <v>158</v>
      </c>
      <c r="F176" s="14" t="str">
        <f t="shared" si="13"/>
        <v>TIDAK ADA</v>
      </c>
      <c r="G176" s="14" t="s">
        <v>33</v>
      </c>
      <c r="H176" s="2" t="s">
        <v>307</v>
      </c>
    </row>
    <row r="177" spans="2:11" x14ac:dyDescent="0.25">
      <c r="B177" s="509"/>
      <c r="C177" s="15" t="s">
        <v>421</v>
      </c>
      <c r="D177" s="15" t="s">
        <v>422</v>
      </c>
      <c r="E177" s="107">
        <f t="shared" si="14"/>
        <v>159</v>
      </c>
      <c r="F177" s="14" t="str">
        <f t="shared" si="13"/>
        <v>Tidak Ada</v>
      </c>
      <c r="G177" s="14" t="s">
        <v>45</v>
      </c>
      <c r="H177" s="2" t="s">
        <v>64</v>
      </c>
      <c r="K177" s="385" t="s">
        <v>423</v>
      </c>
    </row>
    <row r="178" spans="2:11" x14ac:dyDescent="0.25">
      <c r="B178" s="509"/>
      <c r="C178" s="15" t="s">
        <v>424</v>
      </c>
      <c r="D178" s="15" t="s">
        <v>425</v>
      </c>
      <c r="E178" s="107">
        <f t="shared" si="14"/>
        <v>160</v>
      </c>
      <c r="F178" s="14" t="str">
        <f t="shared" si="13"/>
        <v>TIDAK ADA</v>
      </c>
      <c r="G178" s="14" t="s">
        <v>33</v>
      </c>
      <c r="H178" s="2" t="s">
        <v>307</v>
      </c>
    </row>
    <row r="179" spans="2:11" x14ac:dyDescent="0.25">
      <c r="B179" s="509"/>
      <c r="C179" s="15" t="s">
        <v>426</v>
      </c>
      <c r="D179" s="15" t="s">
        <v>427</v>
      </c>
      <c r="E179" s="107">
        <f t="shared" si="14"/>
        <v>161</v>
      </c>
      <c r="F179" s="14" t="str">
        <f t="shared" si="13"/>
        <v>Tidak Ada</v>
      </c>
      <c r="G179" s="14" t="s">
        <v>45</v>
      </c>
      <c r="H179" s="2" t="s">
        <v>64</v>
      </c>
      <c r="K179" s="385" t="s">
        <v>423</v>
      </c>
    </row>
    <row r="180" spans="2:11" ht="31.5" customHeight="1" x14ac:dyDescent="0.25">
      <c r="B180" s="509"/>
      <c r="C180" s="15" t="s">
        <v>428</v>
      </c>
      <c r="D180" s="15" t="s">
        <v>429</v>
      </c>
      <c r="E180" s="107">
        <f t="shared" si="14"/>
        <v>162</v>
      </c>
      <c r="F180" s="14" t="str">
        <f t="shared" si="13"/>
        <v>TIDAK ADA</v>
      </c>
      <c r="G180" s="14" t="s">
        <v>33</v>
      </c>
      <c r="H180" s="2" t="s">
        <v>307</v>
      </c>
    </row>
    <row r="181" spans="2:11" ht="31.5" customHeight="1" x14ac:dyDescent="0.25">
      <c r="B181" s="510"/>
      <c r="C181" s="15" t="s">
        <v>430</v>
      </c>
      <c r="D181" s="15" t="s">
        <v>431</v>
      </c>
      <c r="E181" s="107">
        <f t="shared" si="14"/>
        <v>163</v>
      </c>
      <c r="F181" s="14">
        <f t="shared" si="13"/>
        <v>0</v>
      </c>
      <c r="G181" s="14" t="s">
        <v>204</v>
      </c>
      <c r="H181" s="2">
        <v>0</v>
      </c>
      <c r="J181" s="174" t="s">
        <v>302</v>
      </c>
      <c r="K181" s="385" t="s">
        <v>423</v>
      </c>
    </row>
    <row r="182" spans="2:11" x14ac:dyDescent="0.25">
      <c r="B182" s="521">
        <f>B175+1</f>
        <v>213</v>
      </c>
      <c r="C182" s="45" t="s">
        <v>432</v>
      </c>
      <c r="D182" s="15" t="s">
        <v>433</v>
      </c>
      <c r="E182" s="107">
        <f t="shared" si="14"/>
        <v>164</v>
      </c>
      <c r="F182" s="14" t="str">
        <f t="shared" si="13"/>
        <v>Tidak Ada</v>
      </c>
      <c r="G182" s="14" t="s">
        <v>45</v>
      </c>
      <c r="H182" s="2" t="s">
        <v>64</v>
      </c>
    </row>
    <row r="183" spans="2:11" x14ac:dyDescent="0.25">
      <c r="B183" s="509"/>
      <c r="C183" s="15" t="s">
        <v>434</v>
      </c>
      <c r="D183" s="15" t="s">
        <v>435</v>
      </c>
      <c r="E183" s="107">
        <f t="shared" si="14"/>
        <v>165</v>
      </c>
      <c r="F183" s="14" t="str">
        <f t="shared" si="13"/>
        <v>Tidak Ada</v>
      </c>
      <c r="G183" s="14" t="s">
        <v>33</v>
      </c>
      <c r="H183" s="2" t="s">
        <v>64</v>
      </c>
    </row>
    <row r="184" spans="2:11" x14ac:dyDescent="0.25">
      <c r="B184" s="509"/>
      <c r="C184" s="15" t="s">
        <v>436</v>
      </c>
      <c r="D184" s="15" t="s">
        <v>437</v>
      </c>
      <c r="E184" s="107">
        <f t="shared" si="14"/>
        <v>166</v>
      </c>
      <c r="F184" s="14" t="str">
        <f t="shared" si="13"/>
        <v>Tidak Ada</v>
      </c>
      <c r="G184" s="14" t="s">
        <v>45</v>
      </c>
      <c r="H184" s="2" t="s">
        <v>64</v>
      </c>
      <c r="K184" s="385" t="s">
        <v>438</v>
      </c>
    </row>
    <row r="185" spans="2:11" x14ac:dyDescent="0.25">
      <c r="B185" s="509"/>
      <c r="C185" s="15" t="s">
        <v>439</v>
      </c>
      <c r="D185" s="15" t="s">
        <v>440</v>
      </c>
      <c r="E185" s="107">
        <f t="shared" si="14"/>
        <v>167</v>
      </c>
      <c r="F185" s="14" t="str">
        <f t="shared" si="13"/>
        <v>Tidak Ada</v>
      </c>
      <c r="G185" s="14" t="s">
        <v>33</v>
      </c>
      <c r="H185" s="2" t="s">
        <v>64</v>
      </c>
    </row>
    <row r="186" spans="2:11" x14ac:dyDescent="0.25">
      <c r="B186" s="509"/>
      <c r="C186" s="15" t="s">
        <v>441</v>
      </c>
      <c r="D186" s="15" t="s">
        <v>442</v>
      </c>
      <c r="E186" s="107">
        <f t="shared" si="14"/>
        <v>168</v>
      </c>
      <c r="F186" s="14" t="str">
        <f t="shared" si="13"/>
        <v>Tidak Ada</v>
      </c>
      <c r="G186" s="14" t="s">
        <v>45</v>
      </c>
      <c r="H186" s="2" t="s">
        <v>64</v>
      </c>
      <c r="K186" s="385" t="s">
        <v>438</v>
      </c>
    </row>
    <row r="187" spans="2:11" ht="31.5" customHeight="1" x14ac:dyDescent="0.25">
      <c r="B187" s="509"/>
      <c r="C187" s="15" t="s">
        <v>443</v>
      </c>
      <c r="D187" s="15" t="s">
        <v>444</v>
      </c>
      <c r="E187" s="107">
        <f t="shared" si="14"/>
        <v>169</v>
      </c>
      <c r="F187" s="14" t="str">
        <f t="shared" si="13"/>
        <v>Tidak Ada</v>
      </c>
      <c r="G187" s="14" t="s">
        <v>33</v>
      </c>
      <c r="H187" s="2" t="s">
        <v>64</v>
      </c>
    </row>
    <row r="188" spans="2:11" ht="42" customHeight="1" x14ac:dyDescent="0.25">
      <c r="B188" s="510"/>
      <c r="C188" s="15" t="s">
        <v>445</v>
      </c>
      <c r="D188" s="15" t="s">
        <v>446</v>
      </c>
      <c r="E188" s="107">
        <f t="shared" si="14"/>
        <v>170</v>
      </c>
      <c r="F188" s="14">
        <f t="shared" si="13"/>
        <v>0</v>
      </c>
      <c r="G188" s="14" t="s">
        <v>204</v>
      </c>
      <c r="H188" s="2">
        <v>0</v>
      </c>
      <c r="J188" s="174" t="s">
        <v>302</v>
      </c>
      <c r="K188" s="385" t="s">
        <v>438</v>
      </c>
    </row>
    <row r="189" spans="2:11" x14ac:dyDescent="0.25">
      <c r="B189" s="521">
        <f>B182+1</f>
        <v>214</v>
      </c>
      <c r="C189" s="45" t="s">
        <v>447</v>
      </c>
      <c r="D189" s="15" t="s">
        <v>448</v>
      </c>
      <c r="E189" s="107">
        <f t="shared" si="14"/>
        <v>171</v>
      </c>
      <c r="F189" s="14" t="str">
        <f t="shared" si="13"/>
        <v>Tidak Ada</v>
      </c>
      <c r="G189" s="14" t="s">
        <v>45</v>
      </c>
      <c r="H189" s="2" t="s">
        <v>64</v>
      </c>
    </row>
    <row r="190" spans="2:11" x14ac:dyDescent="0.25">
      <c r="B190" s="509"/>
      <c r="C190" s="15" t="s">
        <v>449</v>
      </c>
      <c r="D190" s="15" t="s">
        <v>450</v>
      </c>
      <c r="E190" s="107">
        <f t="shared" si="14"/>
        <v>172</v>
      </c>
      <c r="F190" s="14" t="str">
        <f t="shared" si="13"/>
        <v>TIDAK ADA</v>
      </c>
      <c r="G190" s="14" t="s">
        <v>33</v>
      </c>
      <c r="H190" s="2" t="s">
        <v>307</v>
      </c>
    </row>
    <row r="191" spans="2:11" x14ac:dyDescent="0.25">
      <c r="B191" s="509"/>
      <c r="C191" s="15" t="s">
        <v>451</v>
      </c>
      <c r="D191" s="15" t="s">
        <v>452</v>
      </c>
      <c r="E191" s="107">
        <f t="shared" si="14"/>
        <v>173</v>
      </c>
      <c r="F191" s="14" t="str">
        <f t="shared" si="13"/>
        <v>Tidak Ada</v>
      </c>
      <c r="G191" s="14" t="s">
        <v>45</v>
      </c>
      <c r="H191" s="2" t="s">
        <v>64</v>
      </c>
      <c r="K191" s="385" t="s">
        <v>453</v>
      </c>
    </row>
    <row r="192" spans="2:11" x14ac:dyDescent="0.25">
      <c r="B192" s="509"/>
      <c r="C192" s="15" t="s">
        <v>454</v>
      </c>
      <c r="D192" s="15" t="s">
        <v>455</v>
      </c>
      <c r="E192" s="107">
        <f t="shared" si="14"/>
        <v>174</v>
      </c>
      <c r="F192" s="14" t="str">
        <f t="shared" si="13"/>
        <v>TIDAK ADA</v>
      </c>
      <c r="G192" s="14" t="s">
        <v>33</v>
      </c>
      <c r="H192" s="2" t="s">
        <v>307</v>
      </c>
    </row>
    <row r="193" spans="2:11" x14ac:dyDescent="0.25">
      <c r="B193" s="509"/>
      <c r="C193" s="15" t="s">
        <v>456</v>
      </c>
      <c r="D193" s="15" t="s">
        <v>457</v>
      </c>
      <c r="E193" s="107">
        <f t="shared" si="14"/>
        <v>175</v>
      </c>
      <c r="F193" s="14" t="str">
        <f t="shared" si="13"/>
        <v>Tidak Ada</v>
      </c>
      <c r="G193" s="14" t="s">
        <v>45</v>
      </c>
      <c r="H193" s="2" t="s">
        <v>64</v>
      </c>
      <c r="K193" s="385" t="s">
        <v>453</v>
      </c>
    </row>
    <row r="194" spans="2:11" ht="31.5" customHeight="1" x14ac:dyDescent="0.25">
      <c r="B194" s="509"/>
      <c r="C194" s="15" t="s">
        <v>458</v>
      </c>
      <c r="D194" s="15" t="s">
        <v>459</v>
      </c>
      <c r="E194" s="107">
        <f t="shared" si="14"/>
        <v>176</v>
      </c>
      <c r="F194" s="14" t="str">
        <f t="shared" si="13"/>
        <v>TIDAK ADA</v>
      </c>
      <c r="G194" s="14" t="s">
        <v>33</v>
      </c>
      <c r="H194" s="2" t="s">
        <v>307</v>
      </c>
    </row>
    <row r="195" spans="2:11" ht="31.5" customHeight="1" x14ac:dyDescent="0.25">
      <c r="B195" s="510"/>
      <c r="C195" s="15" t="s">
        <v>460</v>
      </c>
      <c r="D195" s="15" t="s">
        <v>461</v>
      </c>
      <c r="E195" s="107">
        <f t="shared" si="14"/>
        <v>177</v>
      </c>
      <c r="F195" s="14">
        <f t="shared" si="13"/>
        <v>0</v>
      </c>
      <c r="G195" s="14" t="s">
        <v>204</v>
      </c>
      <c r="H195" s="2">
        <v>0</v>
      </c>
      <c r="J195" s="174" t="s">
        <v>302</v>
      </c>
      <c r="K195" s="385" t="s">
        <v>453</v>
      </c>
    </row>
    <row r="196" spans="2:11" x14ac:dyDescent="0.25">
      <c r="B196" s="521">
        <f>B189+1</f>
        <v>215</v>
      </c>
      <c r="C196" s="45" t="s">
        <v>462</v>
      </c>
      <c r="D196" s="15" t="s">
        <v>463</v>
      </c>
      <c r="E196" s="107">
        <f t="shared" si="14"/>
        <v>178</v>
      </c>
      <c r="F196" s="14" t="str">
        <f t="shared" si="13"/>
        <v>Ada</v>
      </c>
      <c r="G196" s="14" t="s">
        <v>45</v>
      </c>
      <c r="H196" s="2" t="s">
        <v>148</v>
      </c>
    </row>
    <row r="197" spans="2:11" x14ac:dyDescent="0.25">
      <c r="B197" s="509"/>
      <c r="C197" s="15" t="s">
        <v>464</v>
      </c>
      <c r="D197" s="15" t="s">
        <v>465</v>
      </c>
      <c r="E197" s="107">
        <f t="shared" si="14"/>
        <v>179</v>
      </c>
      <c r="F197" s="14" t="str">
        <f t="shared" si="13"/>
        <v>Titik Nol</v>
      </c>
      <c r="G197" s="14" t="s">
        <v>33</v>
      </c>
      <c r="H197" s="2" t="s">
        <v>466</v>
      </c>
    </row>
    <row r="198" spans="2:11" x14ac:dyDescent="0.25">
      <c r="B198" s="509"/>
      <c r="C198" s="15" t="s">
        <v>467</v>
      </c>
      <c r="D198" s="15" t="s">
        <v>468</v>
      </c>
      <c r="E198" s="107">
        <f t="shared" si="14"/>
        <v>180</v>
      </c>
      <c r="F198" s="14" t="str">
        <f t="shared" si="13"/>
        <v>Tempat Berfoto</v>
      </c>
      <c r="G198" s="14" t="s">
        <v>33</v>
      </c>
      <c r="H198" s="2" t="s">
        <v>469</v>
      </c>
    </row>
    <row r="199" spans="2:11" x14ac:dyDescent="0.25">
      <c r="B199" s="509"/>
      <c r="C199" s="15" t="s">
        <v>470</v>
      </c>
      <c r="D199" s="15" t="s">
        <v>471</v>
      </c>
      <c r="E199" s="107">
        <f t="shared" si="14"/>
        <v>181</v>
      </c>
      <c r="F199" s="14" t="str">
        <f t="shared" si="13"/>
        <v>Pemerintah</v>
      </c>
      <c r="G199" s="14" t="s">
        <v>45</v>
      </c>
      <c r="H199" s="2" t="s">
        <v>243</v>
      </c>
      <c r="K199" s="385" t="s">
        <v>472</v>
      </c>
    </row>
    <row r="200" spans="2:11" x14ac:dyDescent="0.25">
      <c r="B200" s="509"/>
      <c r="C200" s="15" t="s">
        <v>473</v>
      </c>
      <c r="D200" s="15" t="s">
        <v>474</v>
      </c>
      <c r="E200" s="107">
        <f t="shared" si="14"/>
        <v>182</v>
      </c>
      <c r="F200" s="14" t="str">
        <f t="shared" si="13"/>
        <v>PEMERINTAH DESA</v>
      </c>
      <c r="G200" s="14" t="s">
        <v>33</v>
      </c>
      <c r="H200" s="2" t="s">
        <v>475</v>
      </c>
    </row>
    <row r="201" spans="2:11" ht="31.5" customHeight="1" x14ac:dyDescent="0.25">
      <c r="B201" s="509"/>
      <c r="C201" s="15" t="s">
        <v>476</v>
      </c>
      <c r="D201" s="15" t="s">
        <v>477</v>
      </c>
      <c r="E201" s="107">
        <f t="shared" si="14"/>
        <v>183</v>
      </c>
      <c r="F201" s="14" t="str">
        <f t="shared" si="13"/>
        <v>Pemerintah</v>
      </c>
      <c r="G201" s="14" t="s">
        <v>45</v>
      </c>
      <c r="H201" s="2" t="s">
        <v>243</v>
      </c>
      <c r="K201" s="385" t="s">
        <v>472</v>
      </c>
    </row>
    <row r="202" spans="2:11" ht="31.5" customHeight="1" x14ac:dyDescent="0.25">
      <c r="B202" s="509"/>
      <c r="C202" s="15" t="s">
        <v>478</v>
      </c>
      <c r="D202" s="15" t="s">
        <v>479</v>
      </c>
      <c r="E202" s="107">
        <f t="shared" si="14"/>
        <v>184</v>
      </c>
      <c r="F202" s="14" t="str">
        <f t="shared" si="13"/>
        <v>TIDAK ADA</v>
      </c>
      <c r="G202" s="14" t="s">
        <v>33</v>
      </c>
      <c r="H202" s="2" t="s">
        <v>307</v>
      </c>
    </row>
    <row r="203" spans="2:11" ht="31.5" customHeight="1" x14ac:dyDescent="0.25">
      <c r="B203" s="510"/>
      <c r="C203" s="15" t="s">
        <v>480</v>
      </c>
      <c r="D203" s="15" t="s">
        <v>481</v>
      </c>
      <c r="E203" s="107">
        <f t="shared" si="14"/>
        <v>185</v>
      </c>
      <c r="F203" s="14">
        <f t="shared" si="13"/>
        <v>50</v>
      </c>
      <c r="G203" s="14" t="s">
        <v>204</v>
      </c>
      <c r="H203" s="2">
        <v>50</v>
      </c>
      <c r="J203" s="174" t="s">
        <v>302</v>
      </c>
      <c r="K203" s="385" t="s">
        <v>472</v>
      </c>
    </row>
    <row r="204" spans="2:11" x14ac:dyDescent="0.25">
      <c r="B204" s="255"/>
      <c r="C204" s="45" t="s">
        <v>482</v>
      </c>
      <c r="D204" s="45"/>
      <c r="E204" s="133"/>
      <c r="F204" s="14"/>
      <c r="G204" s="14"/>
    </row>
    <row r="205" spans="2:11" x14ac:dyDescent="0.25">
      <c r="B205" s="521">
        <f>B196+1</f>
        <v>216</v>
      </c>
      <c r="C205" s="45" t="s">
        <v>483</v>
      </c>
      <c r="D205" s="15" t="s">
        <v>484</v>
      </c>
      <c r="E205" s="107">
        <f>E203+1</f>
        <v>186</v>
      </c>
      <c r="F205" s="14" t="str">
        <f t="shared" ref="F205:F240" si="15">H205</f>
        <v>Tidak Ada</v>
      </c>
      <c r="G205" s="14" t="s">
        <v>45</v>
      </c>
      <c r="H205" s="2" t="s">
        <v>64</v>
      </c>
    </row>
    <row r="206" spans="2:11" x14ac:dyDescent="0.25">
      <c r="B206" s="509"/>
      <c r="C206" s="15" t="s">
        <v>485</v>
      </c>
      <c r="D206" s="15" t="s">
        <v>486</v>
      </c>
      <c r="E206" s="107">
        <f t="shared" ref="E206:E240" si="16">E205+1</f>
        <v>187</v>
      </c>
      <c r="F206" s="14" t="str">
        <f t="shared" si="15"/>
        <v>TIDAK ADA</v>
      </c>
      <c r="G206" s="14" t="s">
        <v>33</v>
      </c>
      <c r="H206" s="2" t="s">
        <v>307</v>
      </c>
    </row>
    <row r="207" spans="2:11" x14ac:dyDescent="0.25">
      <c r="B207" s="509"/>
      <c r="C207" s="15" t="s">
        <v>487</v>
      </c>
      <c r="D207" s="15" t="s">
        <v>488</v>
      </c>
      <c r="E207" s="107">
        <f t="shared" si="16"/>
        <v>188</v>
      </c>
      <c r="F207" s="14" t="str">
        <f t="shared" si="15"/>
        <v>Tidak Ada</v>
      </c>
      <c r="G207" s="14" t="s">
        <v>45</v>
      </c>
      <c r="H207" s="2" t="s">
        <v>64</v>
      </c>
      <c r="K207" s="385" t="s">
        <v>489</v>
      </c>
    </row>
    <row r="208" spans="2:11" x14ac:dyDescent="0.25">
      <c r="B208" s="509"/>
      <c r="C208" s="15" t="s">
        <v>490</v>
      </c>
      <c r="D208" s="15" t="s">
        <v>491</v>
      </c>
      <c r="E208" s="107">
        <f t="shared" si="16"/>
        <v>189</v>
      </c>
      <c r="F208" s="14" t="str">
        <f t="shared" si="15"/>
        <v>TIDAK ADA</v>
      </c>
      <c r="G208" s="14" t="s">
        <v>33</v>
      </c>
      <c r="H208" s="2" t="s">
        <v>307</v>
      </c>
    </row>
    <row r="209" spans="2:11" x14ac:dyDescent="0.25">
      <c r="B209" s="509"/>
      <c r="C209" s="15" t="s">
        <v>492</v>
      </c>
      <c r="D209" s="15" t="s">
        <v>493</v>
      </c>
      <c r="E209" s="107">
        <f t="shared" si="16"/>
        <v>190</v>
      </c>
      <c r="F209" s="14" t="str">
        <f t="shared" si="15"/>
        <v>Tidak Ada</v>
      </c>
      <c r="G209" s="14" t="s">
        <v>45</v>
      </c>
      <c r="H209" s="2" t="s">
        <v>64</v>
      </c>
      <c r="K209" s="385" t="s">
        <v>489</v>
      </c>
    </row>
    <row r="210" spans="2:11" x14ac:dyDescent="0.25">
      <c r="B210" s="509"/>
      <c r="C210" s="15" t="s">
        <v>494</v>
      </c>
      <c r="D210" s="15" t="s">
        <v>495</v>
      </c>
      <c r="E210" s="107">
        <f t="shared" si="16"/>
        <v>191</v>
      </c>
      <c r="F210" s="14" t="str">
        <f t="shared" si="15"/>
        <v>TIDAK ADA</v>
      </c>
      <c r="G210" s="14" t="s">
        <v>33</v>
      </c>
      <c r="H210" s="2" t="s">
        <v>307</v>
      </c>
    </row>
    <row r="211" spans="2:11" ht="31.5" customHeight="1" x14ac:dyDescent="0.25">
      <c r="B211" s="510"/>
      <c r="C211" s="15" t="s">
        <v>496</v>
      </c>
      <c r="D211" s="15" t="s">
        <v>497</v>
      </c>
      <c r="E211" s="107">
        <f t="shared" si="16"/>
        <v>192</v>
      </c>
      <c r="F211" s="14">
        <f t="shared" si="15"/>
        <v>0</v>
      </c>
      <c r="G211" s="14" t="s">
        <v>204</v>
      </c>
      <c r="H211" s="2">
        <v>0</v>
      </c>
      <c r="J211" s="174" t="s">
        <v>302</v>
      </c>
      <c r="K211" s="385" t="s">
        <v>498</v>
      </c>
    </row>
    <row r="212" spans="2:11" x14ac:dyDescent="0.25">
      <c r="B212" s="521">
        <f>B205+1</f>
        <v>217</v>
      </c>
      <c r="C212" s="45" t="s">
        <v>499</v>
      </c>
      <c r="D212" s="15" t="s">
        <v>500</v>
      </c>
      <c r="E212" s="107">
        <f t="shared" si="16"/>
        <v>193</v>
      </c>
      <c r="F212" s="14" t="str">
        <f t="shared" si="15"/>
        <v>Ada</v>
      </c>
      <c r="G212" s="14" t="s">
        <v>45</v>
      </c>
      <c r="H212" s="2" t="s">
        <v>148</v>
      </c>
    </row>
    <row r="213" spans="2:11" x14ac:dyDescent="0.25">
      <c r="B213" s="509"/>
      <c r="C213" s="15" t="s">
        <v>501</v>
      </c>
      <c r="D213" s="15" t="s">
        <v>502</v>
      </c>
      <c r="E213" s="107">
        <f t="shared" si="16"/>
        <v>194</v>
      </c>
      <c r="F213" s="14" t="str">
        <f t="shared" si="15"/>
        <v>ZIARAH</v>
      </c>
      <c r="G213" s="14" t="s">
        <v>33</v>
      </c>
      <c r="H213" s="2" t="s">
        <v>503</v>
      </c>
    </row>
    <row r="214" spans="2:11" x14ac:dyDescent="0.25">
      <c r="B214" s="509"/>
      <c r="C214" s="15" t="s">
        <v>504</v>
      </c>
      <c r="D214" s="15" t="s">
        <v>505</v>
      </c>
      <c r="E214" s="107">
        <f t="shared" si="16"/>
        <v>195</v>
      </c>
      <c r="F214" s="14" t="str">
        <f t="shared" si="15"/>
        <v>Pemerintah</v>
      </c>
      <c r="G214" s="14" t="s">
        <v>45</v>
      </c>
      <c r="H214" s="2" t="s">
        <v>243</v>
      </c>
      <c r="K214" s="385" t="s">
        <v>498</v>
      </c>
    </row>
    <row r="215" spans="2:11" x14ac:dyDescent="0.25">
      <c r="B215" s="509"/>
      <c r="C215" s="15" t="s">
        <v>506</v>
      </c>
      <c r="D215" s="15" t="s">
        <v>507</v>
      </c>
      <c r="E215" s="107">
        <f t="shared" si="16"/>
        <v>196</v>
      </c>
      <c r="F215" s="14" t="str">
        <f t="shared" si="15"/>
        <v>Dinas Parawisata</v>
      </c>
      <c r="G215" s="14" t="s">
        <v>33</v>
      </c>
      <c r="H215" s="2" t="s">
        <v>508</v>
      </c>
    </row>
    <row r="216" spans="2:11" ht="31.5" customHeight="1" x14ac:dyDescent="0.25">
      <c r="B216" s="509"/>
      <c r="C216" s="15" t="s">
        <v>509</v>
      </c>
      <c r="D216" s="15" t="s">
        <v>510</v>
      </c>
      <c r="E216" s="107">
        <f t="shared" si="16"/>
        <v>197</v>
      </c>
      <c r="F216" s="14" t="str">
        <f t="shared" si="15"/>
        <v>Pemerintah</v>
      </c>
      <c r="G216" s="14" t="s">
        <v>45</v>
      </c>
      <c r="H216" s="2" t="s">
        <v>243</v>
      </c>
      <c r="K216" s="385" t="s">
        <v>498</v>
      </c>
    </row>
    <row r="217" spans="2:11" ht="31.5" customHeight="1" x14ac:dyDescent="0.25">
      <c r="B217" s="509"/>
      <c r="C217" s="15" t="s">
        <v>511</v>
      </c>
      <c r="D217" s="15" t="s">
        <v>512</v>
      </c>
      <c r="E217" s="107">
        <f t="shared" si="16"/>
        <v>198</v>
      </c>
      <c r="F217" s="14" t="str">
        <f t="shared" si="15"/>
        <v>Tidak Ada</v>
      </c>
      <c r="G217" s="14" t="s">
        <v>33</v>
      </c>
      <c r="H217" s="2" t="s">
        <v>64</v>
      </c>
    </row>
    <row r="218" spans="2:11" ht="31.5" customHeight="1" x14ac:dyDescent="0.25">
      <c r="B218" s="510"/>
      <c r="C218" s="15" t="s">
        <v>513</v>
      </c>
      <c r="D218" s="15" t="s">
        <v>514</v>
      </c>
      <c r="E218" s="107">
        <f t="shared" si="16"/>
        <v>199</v>
      </c>
      <c r="F218" s="14">
        <f t="shared" si="15"/>
        <v>1</v>
      </c>
      <c r="G218" s="14" t="s">
        <v>204</v>
      </c>
      <c r="H218" s="2">
        <v>1</v>
      </c>
      <c r="J218" s="174" t="s">
        <v>302</v>
      </c>
      <c r="K218" s="385" t="s">
        <v>515</v>
      </c>
    </row>
    <row r="219" spans="2:11" x14ac:dyDescent="0.25">
      <c r="B219" s="521">
        <f>B212+1</f>
        <v>218</v>
      </c>
      <c r="C219" s="45" t="s">
        <v>516</v>
      </c>
      <c r="D219" s="15" t="s">
        <v>517</v>
      </c>
      <c r="E219" s="107">
        <f t="shared" si="16"/>
        <v>200</v>
      </c>
      <c r="F219" s="14" t="str">
        <f t="shared" si="15"/>
        <v>Tidak Ada</v>
      </c>
      <c r="G219" s="14" t="s">
        <v>45</v>
      </c>
      <c r="H219" s="2" t="s">
        <v>64</v>
      </c>
    </row>
    <row r="220" spans="2:11" x14ac:dyDescent="0.25">
      <c r="B220" s="509"/>
      <c r="C220" s="15" t="s">
        <v>518</v>
      </c>
      <c r="D220" s="15" t="s">
        <v>519</v>
      </c>
      <c r="E220" s="107">
        <f t="shared" si="16"/>
        <v>201</v>
      </c>
      <c r="F220" s="14" t="str">
        <f t="shared" si="15"/>
        <v>TIDAK ADA</v>
      </c>
      <c r="G220" s="14" t="s">
        <v>33</v>
      </c>
      <c r="H220" s="2" t="s">
        <v>307</v>
      </c>
    </row>
    <row r="221" spans="2:11" x14ac:dyDescent="0.25">
      <c r="B221" s="509"/>
      <c r="C221" s="15" t="s">
        <v>520</v>
      </c>
      <c r="D221" s="15" t="s">
        <v>521</v>
      </c>
      <c r="E221" s="107">
        <f t="shared" si="16"/>
        <v>202</v>
      </c>
      <c r="F221" s="14" t="str">
        <f t="shared" si="15"/>
        <v>Tidak Ada</v>
      </c>
      <c r="G221" s="14" t="s">
        <v>45</v>
      </c>
      <c r="H221" s="2" t="s">
        <v>64</v>
      </c>
      <c r="K221" s="385" t="s">
        <v>515</v>
      </c>
    </row>
    <row r="222" spans="2:11" x14ac:dyDescent="0.25">
      <c r="B222" s="509"/>
      <c r="C222" s="15" t="s">
        <v>522</v>
      </c>
      <c r="D222" s="15" t="s">
        <v>523</v>
      </c>
      <c r="E222" s="107">
        <f t="shared" si="16"/>
        <v>203</v>
      </c>
      <c r="F222" s="14" t="str">
        <f t="shared" si="15"/>
        <v>TIDAK ADA</v>
      </c>
      <c r="G222" s="14" t="s">
        <v>33</v>
      </c>
      <c r="H222" s="2" t="s">
        <v>307</v>
      </c>
    </row>
    <row r="223" spans="2:11" x14ac:dyDescent="0.25">
      <c r="B223" s="509"/>
      <c r="C223" s="15" t="s">
        <v>524</v>
      </c>
      <c r="D223" s="15" t="s">
        <v>525</v>
      </c>
      <c r="E223" s="107">
        <f t="shared" si="16"/>
        <v>204</v>
      </c>
      <c r="F223" s="14" t="str">
        <f t="shared" si="15"/>
        <v>Tidak Ada</v>
      </c>
      <c r="G223" s="14" t="s">
        <v>45</v>
      </c>
      <c r="H223" s="2" t="s">
        <v>64</v>
      </c>
      <c r="K223" s="385" t="s">
        <v>515</v>
      </c>
    </row>
    <row r="224" spans="2:11" ht="31.5" customHeight="1" x14ac:dyDescent="0.25">
      <c r="B224" s="509"/>
      <c r="C224" s="15" t="s">
        <v>526</v>
      </c>
      <c r="D224" s="15" t="s">
        <v>527</v>
      </c>
      <c r="E224" s="107">
        <f t="shared" si="16"/>
        <v>205</v>
      </c>
      <c r="F224" s="14" t="str">
        <f t="shared" si="15"/>
        <v>TIDAK ADA</v>
      </c>
      <c r="G224" s="14" t="s">
        <v>33</v>
      </c>
      <c r="H224" s="2" t="s">
        <v>307</v>
      </c>
    </row>
    <row r="225" spans="2:11" ht="31.5" customHeight="1" x14ac:dyDescent="0.25">
      <c r="B225" s="510"/>
      <c r="C225" s="15" t="s">
        <v>528</v>
      </c>
      <c r="D225" s="15" t="s">
        <v>529</v>
      </c>
      <c r="E225" s="107">
        <f t="shared" si="16"/>
        <v>206</v>
      </c>
      <c r="F225" s="14">
        <f t="shared" si="15"/>
        <v>0</v>
      </c>
      <c r="G225" s="14" t="s">
        <v>204</v>
      </c>
      <c r="H225" s="2">
        <v>0</v>
      </c>
      <c r="J225" s="174" t="s">
        <v>302</v>
      </c>
      <c r="K225" s="385" t="s">
        <v>530</v>
      </c>
    </row>
    <row r="226" spans="2:11" x14ac:dyDescent="0.25">
      <c r="B226" s="521">
        <f>B219+1</f>
        <v>219</v>
      </c>
      <c r="C226" s="45" t="s">
        <v>531</v>
      </c>
      <c r="D226" s="15" t="s">
        <v>532</v>
      </c>
      <c r="E226" s="107">
        <f t="shared" si="16"/>
        <v>207</v>
      </c>
      <c r="F226" s="14" t="str">
        <f t="shared" si="15"/>
        <v>Tidak Ada</v>
      </c>
      <c r="G226" s="14" t="s">
        <v>45</v>
      </c>
      <c r="H226" s="2" t="s">
        <v>64</v>
      </c>
    </row>
    <row r="227" spans="2:11" x14ac:dyDescent="0.25">
      <c r="B227" s="509"/>
      <c r="C227" s="15" t="s">
        <v>533</v>
      </c>
      <c r="D227" s="15" t="s">
        <v>534</v>
      </c>
      <c r="E227" s="107">
        <f t="shared" si="16"/>
        <v>208</v>
      </c>
      <c r="F227" s="14" t="str">
        <f t="shared" si="15"/>
        <v>TIDAK ADA</v>
      </c>
      <c r="G227" s="14" t="s">
        <v>33</v>
      </c>
      <c r="H227" s="2" t="s">
        <v>307</v>
      </c>
    </row>
    <row r="228" spans="2:11" x14ac:dyDescent="0.25">
      <c r="B228" s="509"/>
      <c r="C228" s="15" t="s">
        <v>535</v>
      </c>
      <c r="D228" s="15" t="s">
        <v>536</v>
      </c>
      <c r="E228" s="107">
        <f t="shared" si="16"/>
        <v>209</v>
      </c>
      <c r="F228" s="14" t="str">
        <f t="shared" si="15"/>
        <v>Tidak Ada</v>
      </c>
      <c r="G228" s="14" t="s">
        <v>45</v>
      </c>
      <c r="H228" s="2" t="s">
        <v>64</v>
      </c>
      <c r="K228" s="385" t="s">
        <v>530</v>
      </c>
    </row>
    <row r="229" spans="2:11" x14ac:dyDescent="0.25">
      <c r="B229" s="509"/>
      <c r="C229" s="15" t="s">
        <v>537</v>
      </c>
      <c r="D229" s="15" t="s">
        <v>538</v>
      </c>
      <c r="E229" s="107">
        <f t="shared" si="16"/>
        <v>210</v>
      </c>
      <c r="F229" s="14" t="str">
        <f t="shared" si="15"/>
        <v>TIDAK ADA</v>
      </c>
      <c r="G229" s="14" t="s">
        <v>33</v>
      </c>
      <c r="H229" s="2" t="s">
        <v>307</v>
      </c>
    </row>
    <row r="230" spans="2:11" ht="31.5" customHeight="1" x14ac:dyDescent="0.25">
      <c r="B230" s="509"/>
      <c r="C230" s="15" t="s">
        <v>539</v>
      </c>
      <c r="D230" s="15" t="s">
        <v>540</v>
      </c>
      <c r="E230" s="107">
        <f t="shared" si="16"/>
        <v>211</v>
      </c>
      <c r="F230" s="14" t="str">
        <f t="shared" si="15"/>
        <v>Tidak Ada</v>
      </c>
      <c r="G230" s="14" t="s">
        <v>45</v>
      </c>
      <c r="H230" s="2" t="s">
        <v>64</v>
      </c>
      <c r="K230" s="385" t="s">
        <v>530</v>
      </c>
    </row>
    <row r="231" spans="2:11" ht="31.5" customHeight="1" x14ac:dyDescent="0.25">
      <c r="B231" s="509"/>
      <c r="C231" s="15" t="s">
        <v>541</v>
      </c>
      <c r="D231" s="15" t="s">
        <v>542</v>
      </c>
      <c r="E231" s="107">
        <f t="shared" si="16"/>
        <v>212</v>
      </c>
      <c r="F231" s="14" t="str">
        <f t="shared" si="15"/>
        <v>TIDAK ADA</v>
      </c>
      <c r="G231" s="14" t="s">
        <v>33</v>
      </c>
      <c r="H231" s="2" t="s">
        <v>307</v>
      </c>
    </row>
    <row r="232" spans="2:11" ht="31.5" customHeight="1" x14ac:dyDescent="0.25">
      <c r="B232" s="510"/>
      <c r="C232" s="15" t="s">
        <v>543</v>
      </c>
      <c r="D232" s="15" t="s">
        <v>544</v>
      </c>
      <c r="E232" s="107">
        <f t="shared" si="16"/>
        <v>213</v>
      </c>
      <c r="F232" s="14">
        <f t="shared" si="15"/>
        <v>0</v>
      </c>
      <c r="G232" s="14" t="s">
        <v>204</v>
      </c>
      <c r="H232" s="2">
        <v>0</v>
      </c>
      <c r="J232" s="174" t="s">
        <v>302</v>
      </c>
      <c r="K232" s="385" t="s">
        <v>545</v>
      </c>
    </row>
    <row r="233" spans="2:11" x14ac:dyDescent="0.25">
      <c r="B233" s="521">
        <f>B226+1</f>
        <v>220</v>
      </c>
      <c r="C233" s="45" t="s">
        <v>546</v>
      </c>
      <c r="D233" s="15" t="s">
        <v>547</v>
      </c>
      <c r="E233" s="107">
        <f t="shared" si="16"/>
        <v>214</v>
      </c>
      <c r="F233" s="14" t="str">
        <f t="shared" si="15"/>
        <v>Tidak Ada</v>
      </c>
      <c r="G233" s="14" t="s">
        <v>45</v>
      </c>
      <c r="H233" s="2" t="s">
        <v>64</v>
      </c>
    </row>
    <row r="234" spans="2:11" x14ac:dyDescent="0.25">
      <c r="B234" s="509"/>
      <c r="C234" s="15" t="s">
        <v>548</v>
      </c>
      <c r="D234" s="15" t="s">
        <v>549</v>
      </c>
      <c r="E234" s="107">
        <f t="shared" si="16"/>
        <v>215</v>
      </c>
      <c r="F234" s="14" t="str">
        <f t="shared" si="15"/>
        <v>TIDAK ADA</v>
      </c>
      <c r="G234" s="14" t="s">
        <v>33</v>
      </c>
      <c r="H234" s="2" t="s">
        <v>307</v>
      </c>
    </row>
    <row r="235" spans="2:11" x14ac:dyDescent="0.25">
      <c r="B235" s="509"/>
      <c r="C235" s="15" t="s">
        <v>550</v>
      </c>
      <c r="D235" s="15" t="s">
        <v>551</v>
      </c>
      <c r="E235" s="107">
        <f t="shared" si="16"/>
        <v>216</v>
      </c>
      <c r="F235" s="14" t="str">
        <f t="shared" si="15"/>
        <v>TIDAK ADA</v>
      </c>
      <c r="G235" s="14" t="s">
        <v>33</v>
      </c>
      <c r="H235" s="2" t="s">
        <v>307</v>
      </c>
    </row>
    <row r="236" spans="2:11" x14ac:dyDescent="0.25">
      <c r="B236" s="509"/>
      <c r="C236" s="15" t="s">
        <v>552</v>
      </c>
      <c r="D236" s="15" t="s">
        <v>553</v>
      </c>
      <c r="E236" s="107">
        <f t="shared" si="16"/>
        <v>217</v>
      </c>
      <c r="F236" s="14" t="str">
        <f t="shared" si="15"/>
        <v>Tidak Ada</v>
      </c>
      <c r="G236" s="14" t="s">
        <v>45</v>
      </c>
      <c r="H236" s="2" t="s">
        <v>64</v>
      </c>
      <c r="K236" s="385" t="s">
        <v>545</v>
      </c>
    </row>
    <row r="237" spans="2:11" x14ac:dyDescent="0.25">
      <c r="B237" s="509"/>
      <c r="C237" s="15" t="s">
        <v>554</v>
      </c>
      <c r="D237" s="15" t="s">
        <v>555</v>
      </c>
      <c r="E237" s="107">
        <f t="shared" si="16"/>
        <v>218</v>
      </c>
      <c r="F237" s="14" t="str">
        <f t="shared" si="15"/>
        <v>TIDAK ADA</v>
      </c>
      <c r="G237" s="14" t="s">
        <v>33</v>
      </c>
      <c r="H237" s="2" t="s">
        <v>307</v>
      </c>
    </row>
    <row r="238" spans="2:11" ht="31.5" customHeight="1" x14ac:dyDescent="0.25">
      <c r="B238" s="509"/>
      <c r="C238" s="15" t="s">
        <v>556</v>
      </c>
      <c r="D238" s="15" t="s">
        <v>557</v>
      </c>
      <c r="E238" s="107">
        <f t="shared" si="16"/>
        <v>219</v>
      </c>
      <c r="F238" s="14" t="str">
        <f t="shared" si="15"/>
        <v>Tidak Ada</v>
      </c>
      <c r="G238" s="14" t="s">
        <v>45</v>
      </c>
      <c r="H238" s="2" t="s">
        <v>64</v>
      </c>
      <c r="K238" s="385" t="s">
        <v>545</v>
      </c>
    </row>
    <row r="239" spans="2:11" ht="31.5" customHeight="1" x14ac:dyDescent="0.25">
      <c r="B239" s="509"/>
      <c r="C239" s="15" t="s">
        <v>558</v>
      </c>
      <c r="D239" s="15" t="s">
        <v>559</v>
      </c>
      <c r="E239" s="107">
        <f t="shared" si="16"/>
        <v>220</v>
      </c>
      <c r="F239" s="14" t="str">
        <f t="shared" si="15"/>
        <v>TIDAK ADA</v>
      </c>
      <c r="G239" s="14" t="s">
        <v>33</v>
      </c>
      <c r="H239" s="2" t="s">
        <v>307</v>
      </c>
    </row>
    <row r="240" spans="2:11" ht="31.5" customHeight="1" x14ac:dyDescent="0.25">
      <c r="B240" s="510"/>
      <c r="C240" s="15" t="s">
        <v>560</v>
      </c>
      <c r="D240" s="15" t="s">
        <v>561</v>
      </c>
      <c r="E240" s="107">
        <f t="shared" si="16"/>
        <v>221</v>
      </c>
      <c r="F240" s="14">
        <f t="shared" si="15"/>
        <v>0</v>
      </c>
      <c r="G240" s="14" t="s">
        <v>204</v>
      </c>
      <c r="H240" s="2">
        <v>0</v>
      </c>
      <c r="J240" s="174" t="s">
        <v>302</v>
      </c>
      <c r="K240" s="385" t="s">
        <v>545</v>
      </c>
    </row>
    <row r="241" spans="2:10" x14ac:dyDescent="0.25">
      <c r="B241" s="255"/>
      <c r="C241" s="45" t="s">
        <v>562</v>
      </c>
      <c r="D241" s="15"/>
      <c r="E241" s="133"/>
      <c r="F241" s="14"/>
      <c r="G241" s="14"/>
    </row>
    <row r="242" spans="2:10" x14ac:dyDescent="0.25">
      <c r="B242" s="255">
        <f>B233+1</f>
        <v>221</v>
      </c>
      <c r="C242" s="15" t="s">
        <v>563</v>
      </c>
      <c r="D242" s="15" t="s">
        <v>564</v>
      </c>
      <c r="E242" s="107">
        <f>E240+1</f>
        <v>222</v>
      </c>
      <c r="F242" s="14" t="str">
        <f>H242</f>
        <v>Ada</v>
      </c>
      <c r="G242" s="14" t="s">
        <v>45</v>
      </c>
      <c r="H242" s="2" t="s">
        <v>148</v>
      </c>
    </row>
    <row r="243" spans="2:10" x14ac:dyDescent="0.25">
      <c r="B243" s="255"/>
      <c r="C243" s="45" t="s">
        <v>565</v>
      </c>
      <c r="D243" s="15"/>
      <c r="E243" s="133"/>
      <c r="F243" s="14"/>
      <c r="G243" s="14"/>
      <c r="J243"/>
    </row>
    <row r="244" spans="2:10" x14ac:dyDescent="0.25">
      <c r="B244" s="521">
        <f>B242+1</f>
        <v>222</v>
      </c>
      <c r="C244" s="45" t="s">
        <v>566</v>
      </c>
      <c r="D244" s="15" t="s">
        <v>567</v>
      </c>
      <c r="E244" s="107">
        <f>E242+1</f>
        <v>223</v>
      </c>
      <c r="F244" s="14" t="str">
        <f t="shared" ref="F244:F261" si="17">H244</f>
        <v>Ada</v>
      </c>
      <c r="G244" s="14" t="s">
        <v>568</v>
      </c>
      <c r="H244" s="2" t="s">
        <v>148</v>
      </c>
      <c r="J244"/>
    </row>
    <row r="245" spans="2:10" x14ac:dyDescent="0.25">
      <c r="B245" s="509"/>
      <c r="C245" s="15" t="s">
        <v>569</v>
      </c>
      <c r="D245" s="15" t="s">
        <v>570</v>
      </c>
      <c r="E245" s="107">
        <f t="shared" ref="E245:E261" si="18">E244+1</f>
        <v>224</v>
      </c>
      <c r="F245" s="14">
        <f t="shared" si="17"/>
        <v>295</v>
      </c>
      <c r="G245" s="14" t="s">
        <v>230</v>
      </c>
      <c r="H245" s="2">
        <v>295</v>
      </c>
      <c r="J245" s="174" t="s">
        <v>571</v>
      </c>
    </row>
    <row r="246" spans="2:10" x14ac:dyDescent="0.25">
      <c r="B246" s="509"/>
      <c r="C246" s="15" t="s">
        <v>572</v>
      </c>
      <c r="D246" s="15" t="s">
        <v>573</v>
      </c>
      <c r="E246" s="107">
        <f t="shared" si="18"/>
        <v>225</v>
      </c>
      <c r="F246" s="14" t="str">
        <f t="shared" si="17"/>
        <v>Tidak Ada</v>
      </c>
      <c r="G246" s="14" t="s">
        <v>568</v>
      </c>
      <c r="H246" s="2" t="s">
        <v>64</v>
      </c>
    </row>
    <row r="247" spans="2:10" x14ac:dyDescent="0.25">
      <c r="B247" s="509"/>
      <c r="C247" s="15" t="s">
        <v>574</v>
      </c>
      <c r="D247" s="15" t="s">
        <v>575</v>
      </c>
      <c r="E247" s="107">
        <f t="shared" si="18"/>
        <v>226</v>
      </c>
      <c r="F247" s="14">
        <f t="shared" si="17"/>
        <v>0</v>
      </c>
      <c r="G247" s="14" t="s">
        <v>230</v>
      </c>
      <c r="H247" s="2">
        <v>0</v>
      </c>
      <c r="J247" s="174" t="s">
        <v>571</v>
      </c>
    </row>
    <row r="248" spans="2:10" x14ac:dyDescent="0.25">
      <c r="B248" s="509"/>
      <c r="C248" s="15" t="s">
        <v>576</v>
      </c>
      <c r="D248" s="15" t="s">
        <v>577</v>
      </c>
      <c r="E248" s="107">
        <f t="shared" si="18"/>
        <v>227</v>
      </c>
      <c r="F248" s="14" t="str">
        <f t="shared" si="17"/>
        <v>Tidak Ada</v>
      </c>
      <c r="G248" s="14" t="s">
        <v>568</v>
      </c>
      <c r="H248" s="2" t="s">
        <v>64</v>
      </c>
    </row>
    <row r="249" spans="2:10" x14ac:dyDescent="0.25">
      <c r="B249" s="509"/>
      <c r="C249" s="15" t="s">
        <v>578</v>
      </c>
      <c r="D249" s="15" t="s">
        <v>579</v>
      </c>
      <c r="E249" s="107">
        <f t="shared" si="18"/>
        <v>228</v>
      </c>
      <c r="F249" s="14">
        <f t="shared" si="17"/>
        <v>0</v>
      </c>
      <c r="G249" s="14" t="s">
        <v>230</v>
      </c>
      <c r="H249" s="2">
        <v>0</v>
      </c>
      <c r="J249" s="174" t="s">
        <v>571</v>
      </c>
    </row>
    <row r="250" spans="2:10" x14ac:dyDescent="0.25">
      <c r="B250" s="509"/>
      <c r="C250" s="15" t="s">
        <v>580</v>
      </c>
      <c r="D250" s="15" t="s">
        <v>581</v>
      </c>
      <c r="E250" s="107">
        <f t="shared" si="18"/>
        <v>229</v>
      </c>
      <c r="F250" s="14" t="str">
        <f t="shared" si="17"/>
        <v>Tidak Ada</v>
      </c>
      <c r="G250" s="14" t="s">
        <v>568</v>
      </c>
      <c r="H250" s="2" t="s">
        <v>64</v>
      </c>
    </row>
    <row r="251" spans="2:10" x14ac:dyDescent="0.25">
      <c r="B251" s="509"/>
      <c r="C251" s="15" t="s">
        <v>582</v>
      </c>
      <c r="D251" s="15" t="s">
        <v>583</v>
      </c>
      <c r="E251" s="107">
        <f t="shared" si="18"/>
        <v>230</v>
      </c>
      <c r="F251" s="14">
        <f t="shared" si="17"/>
        <v>0</v>
      </c>
      <c r="G251" s="14" t="s">
        <v>230</v>
      </c>
      <c r="H251" s="2">
        <v>0</v>
      </c>
      <c r="J251" s="174" t="s">
        <v>584</v>
      </c>
    </row>
    <row r="252" spans="2:10" x14ac:dyDescent="0.25">
      <c r="B252" s="509"/>
      <c r="C252" s="15" t="s">
        <v>585</v>
      </c>
      <c r="D252" s="15" t="s">
        <v>586</v>
      </c>
      <c r="E252" s="107">
        <f t="shared" si="18"/>
        <v>231</v>
      </c>
      <c r="F252" s="14" t="str">
        <f t="shared" si="17"/>
        <v>TIDAK ADA</v>
      </c>
      <c r="G252" s="14" t="s">
        <v>33</v>
      </c>
      <c r="H252" s="2" t="s">
        <v>307</v>
      </c>
    </row>
    <row r="253" spans="2:10" x14ac:dyDescent="0.25">
      <c r="B253" s="509"/>
      <c r="C253" s="15" t="s">
        <v>587</v>
      </c>
      <c r="D253" s="15" t="s">
        <v>588</v>
      </c>
      <c r="E253" s="107">
        <f t="shared" si="18"/>
        <v>232</v>
      </c>
      <c r="F253" s="14" t="str">
        <f t="shared" si="17"/>
        <v>Tidak Ada</v>
      </c>
      <c r="G253" s="14" t="s">
        <v>568</v>
      </c>
      <c r="H253" s="2" t="s">
        <v>64</v>
      </c>
    </row>
    <row r="254" spans="2:10" x14ac:dyDescent="0.25">
      <c r="B254" s="509"/>
      <c r="C254" s="15" t="s">
        <v>589</v>
      </c>
      <c r="D254" s="15" t="s">
        <v>590</v>
      </c>
      <c r="E254" s="107">
        <f t="shared" si="18"/>
        <v>233</v>
      </c>
      <c r="F254" s="14">
        <f t="shared" si="17"/>
        <v>0</v>
      </c>
      <c r="G254" s="14" t="s">
        <v>230</v>
      </c>
      <c r="H254" s="2">
        <v>0</v>
      </c>
      <c r="J254" s="174" t="s">
        <v>571</v>
      </c>
    </row>
    <row r="255" spans="2:10" x14ac:dyDescent="0.25">
      <c r="B255" s="509"/>
      <c r="C255" s="15" t="s">
        <v>591</v>
      </c>
      <c r="D255" s="15" t="s">
        <v>592</v>
      </c>
      <c r="E255" s="107">
        <f t="shared" si="18"/>
        <v>234</v>
      </c>
      <c r="F255" s="14" t="str">
        <f t="shared" si="17"/>
        <v>Tidak Ada</v>
      </c>
      <c r="G255" s="14" t="s">
        <v>568</v>
      </c>
      <c r="H255" s="2" t="s">
        <v>64</v>
      </c>
    </row>
    <row r="256" spans="2:10" x14ac:dyDescent="0.25">
      <c r="B256" s="509"/>
      <c r="C256" s="15" t="s">
        <v>593</v>
      </c>
      <c r="D256" s="15" t="s">
        <v>594</v>
      </c>
      <c r="E256" s="107">
        <f t="shared" si="18"/>
        <v>235</v>
      </c>
      <c r="F256" s="14">
        <f t="shared" si="17"/>
        <v>0</v>
      </c>
      <c r="G256" s="14" t="s">
        <v>230</v>
      </c>
      <c r="H256" s="2">
        <v>0</v>
      </c>
      <c r="J256" s="174" t="s">
        <v>571</v>
      </c>
    </row>
    <row r="257" spans="2:11" x14ac:dyDescent="0.25">
      <c r="B257" s="509"/>
      <c r="C257" s="15" t="s">
        <v>595</v>
      </c>
      <c r="D257" s="15" t="s">
        <v>596</v>
      </c>
      <c r="E257" s="107">
        <f t="shared" si="18"/>
        <v>236</v>
      </c>
      <c r="F257" s="14" t="str">
        <f t="shared" si="17"/>
        <v>Tidak Ada</v>
      </c>
      <c r="G257" s="14" t="s">
        <v>568</v>
      </c>
      <c r="H257" s="2" t="s">
        <v>64</v>
      </c>
    </row>
    <row r="258" spans="2:11" x14ac:dyDescent="0.25">
      <c r="B258" s="510"/>
      <c r="C258" s="15" t="s">
        <v>597</v>
      </c>
      <c r="D258" s="15" t="s">
        <v>598</v>
      </c>
      <c r="E258" s="107">
        <f t="shared" si="18"/>
        <v>237</v>
      </c>
      <c r="F258" s="14">
        <f t="shared" si="17"/>
        <v>0</v>
      </c>
      <c r="G258" s="14" t="s">
        <v>230</v>
      </c>
      <c r="H258" s="2">
        <v>0</v>
      </c>
      <c r="J258" s="174" t="s">
        <v>571</v>
      </c>
    </row>
    <row r="259" spans="2:11" x14ac:dyDescent="0.25">
      <c r="B259" s="521">
        <f>B244+1</f>
        <v>223</v>
      </c>
      <c r="C259" s="45" t="s">
        <v>599</v>
      </c>
      <c r="D259" s="15" t="s">
        <v>600</v>
      </c>
      <c r="E259" s="107">
        <f t="shared" si="18"/>
        <v>238</v>
      </c>
      <c r="F259" s="14" t="str">
        <f t="shared" si="17"/>
        <v>Ada</v>
      </c>
      <c r="G259" s="14" t="s">
        <v>568</v>
      </c>
      <c r="H259" s="2" t="s">
        <v>148</v>
      </c>
      <c r="J259" s="390" t="s">
        <v>64</v>
      </c>
    </row>
    <row r="260" spans="2:11" x14ac:dyDescent="0.25">
      <c r="B260" s="509"/>
      <c r="C260" s="15" t="s">
        <v>601</v>
      </c>
      <c r="D260" s="15" t="s">
        <v>602</v>
      </c>
      <c r="E260" s="107">
        <f t="shared" si="18"/>
        <v>239</v>
      </c>
      <c r="F260" s="14">
        <f t="shared" si="17"/>
        <v>786</v>
      </c>
      <c r="G260" s="14" t="s">
        <v>230</v>
      </c>
      <c r="H260" s="2">
        <v>786</v>
      </c>
      <c r="J260" s="390" t="s">
        <v>243</v>
      </c>
    </row>
    <row r="261" spans="2:11" ht="31.5" x14ac:dyDescent="0.25">
      <c r="B261" s="510"/>
      <c r="C261" s="15" t="s">
        <v>603</v>
      </c>
      <c r="D261" s="15" t="s">
        <v>604</v>
      </c>
      <c r="E261" s="107">
        <f t="shared" si="18"/>
        <v>240</v>
      </c>
      <c r="F261" s="14" t="str">
        <f t="shared" si="17"/>
        <v>Dinas Lingkungan Hidup dan Kehutanan Kabupaten Bulukumba</v>
      </c>
      <c r="G261" s="14" t="s">
        <v>33</v>
      </c>
      <c r="H261" s="2" t="s">
        <v>605</v>
      </c>
      <c r="J261" s="390" t="s">
        <v>250</v>
      </c>
    </row>
    <row r="262" spans="2:11" x14ac:dyDescent="0.25">
      <c r="B262" s="255"/>
      <c r="C262" s="45" t="s">
        <v>606</v>
      </c>
      <c r="D262" s="15"/>
      <c r="E262" s="133"/>
      <c r="F262" s="14"/>
      <c r="G262" s="14"/>
      <c r="J262" s="390" t="s">
        <v>253</v>
      </c>
    </row>
    <row r="263" spans="2:11" x14ac:dyDescent="0.25">
      <c r="B263" s="255">
        <f>B259+1</f>
        <v>224</v>
      </c>
      <c r="C263" s="15" t="s">
        <v>607</v>
      </c>
      <c r="D263" s="15" t="s">
        <v>608</v>
      </c>
      <c r="E263" s="107">
        <f>E261+1</f>
        <v>241</v>
      </c>
      <c r="F263" s="14" t="str">
        <f>H263</f>
        <v>Tidak Ada</v>
      </c>
      <c r="G263" s="14" t="s">
        <v>568</v>
      </c>
      <c r="H263" s="2" t="s">
        <v>64</v>
      </c>
      <c r="J263" s="390" t="s">
        <v>246</v>
      </c>
    </row>
    <row r="264" spans="2:11" x14ac:dyDescent="0.25">
      <c r="B264" s="255"/>
      <c r="C264" s="45" t="s">
        <v>609</v>
      </c>
      <c r="D264" s="15"/>
      <c r="E264" s="133"/>
      <c r="F264" s="14"/>
      <c r="G264" s="14"/>
      <c r="J264" s="390" t="s">
        <v>610</v>
      </c>
    </row>
    <row r="265" spans="2:11" x14ac:dyDescent="0.25">
      <c r="B265" s="255"/>
      <c r="C265" s="45" t="s">
        <v>611</v>
      </c>
      <c r="D265" s="15"/>
      <c r="E265" s="133"/>
      <c r="F265" s="14"/>
      <c r="G265" s="14"/>
      <c r="J265" s="390" t="s">
        <v>46</v>
      </c>
    </row>
    <row r="266" spans="2:11" x14ac:dyDescent="0.25">
      <c r="B266" s="521">
        <f>B263+1</f>
        <v>225</v>
      </c>
      <c r="C266" s="45" t="s">
        <v>612</v>
      </c>
      <c r="D266" s="15" t="s">
        <v>613</v>
      </c>
      <c r="E266" s="107">
        <f>E263+1</f>
        <v>242</v>
      </c>
      <c r="F266" s="14" t="str">
        <f t="shared" ref="F266:F302" si="19">H266</f>
        <v>Tidak Ada</v>
      </c>
      <c r="G266" s="14" t="s">
        <v>45</v>
      </c>
      <c r="H266" s="2" t="s">
        <v>64</v>
      </c>
    </row>
    <row r="267" spans="2:11" x14ac:dyDescent="0.25">
      <c r="B267" s="509"/>
      <c r="C267" s="15" t="s">
        <v>614</v>
      </c>
      <c r="D267" s="15" t="s">
        <v>615</v>
      </c>
      <c r="E267" s="107">
        <f t="shared" ref="E267:E302" si="20">E266+1</f>
        <v>243</v>
      </c>
      <c r="F267" s="14">
        <f t="shared" si="19"/>
        <v>0</v>
      </c>
      <c r="G267" s="14" t="s">
        <v>230</v>
      </c>
      <c r="H267" s="2">
        <v>0</v>
      </c>
      <c r="J267" s="174" t="s">
        <v>571</v>
      </c>
      <c r="K267" s="385" t="s">
        <v>616</v>
      </c>
    </row>
    <row r="268" spans="2:11" x14ac:dyDescent="0.25">
      <c r="B268" s="509"/>
      <c r="C268" s="15" t="s">
        <v>617</v>
      </c>
      <c r="D268" s="15" t="s">
        <v>618</v>
      </c>
      <c r="E268" s="107">
        <f t="shared" si="20"/>
        <v>244</v>
      </c>
      <c r="F268" s="14">
        <f t="shared" si="19"/>
        <v>0</v>
      </c>
      <c r="G268" s="14" t="s">
        <v>204</v>
      </c>
      <c r="H268" s="2">
        <v>0</v>
      </c>
      <c r="J268" s="174" t="s">
        <v>619</v>
      </c>
      <c r="K268" s="385" t="s">
        <v>616</v>
      </c>
    </row>
    <row r="269" spans="2:11" x14ac:dyDescent="0.25">
      <c r="B269" s="509"/>
      <c r="C269" s="15" t="s">
        <v>620</v>
      </c>
      <c r="D269" s="15" t="s">
        <v>621</v>
      </c>
      <c r="E269" s="107">
        <f t="shared" si="20"/>
        <v>245</v>
      </c>
      <c r="F269" s="14">
        <f t="shared" si="19"/>
        <v>0</v>
      </c>
      <c r="G269" s="14" t="s">
        <v>204</v>
      </c>
      <c r="H269" s="2">
        <v>0</v>
      </c>
      <c r="J269" s="174" t="s">
        <v>619</v>
      </c>
      <c r="K269" s="385" t="s">
        <v>616</v>
      </c>
    </row>
    <row r="270" spans="2:11" x14ac:dyDescent="0.25">
      <c r="B270" s="509"/>
      <c r="C270" s="15" t="s">
        <v>622</v>
      </c>
      <c r="D270" s="15" t="s">
        <v>623</v>
      </c>
      <c r="E270" s="107">
        <f t="shared" si="20"/>
        <v>246</v>
      </c>
      <c r="F270" s="14" t="str">
        <f t="shared" si="19"/>
        <v>Tidak Ada</v>
      </c>
      <c r="G270" s="14" t="s">
        <v>45</v>
      </c>
      <c r="H270" s="2" t="s">
        <v>64</v>
      </c>
      <c r="K270" s="385" t="s">
        <v>616</v>
      </c>
    </row>
    <row r="271" spans="2:11" x14ac:dyDescent="0.25">
      <c r="B271" s="510"/>
      <c r="C271" s="15" t="s">
        <v>624</v>
      </c>
      <c r="D271" s="15" t="s">
        <v>625</v>
      </c>
      <c r="E271" s="107">
        <f t="shared" si="20"/>
        <v>247</v>
      </c>
      <c r="F271" s="14" t="str">
        <f t="shared" si="19"/>
        <v>TIDAK ADA</v>
      </c>
      <c r="G271" s="14" t="s">
        <v>33</v>
      </c>
      <c r="H271" s="2" t="s">
        <v>307</v>
      </c>
    </row>
    <row r="272" spans="2:11" x14ac:dyDescent="0.25">
      <c r="B272" s="521">
        <f>B266+1</f>
        <v>226</v>
      </c>
      <c r="C272" s="45" t="s">
        <v>626</v>
      </c>
      <c r="D272" s="15" t="s">
        <v>627</v>
      </c>
      <c r="E272" s="107">
        <f t="shared" si="20"/>
        <v>248</v>
      </c>
      <c r="F272" s="14" t="str">
        <f t="shared" si="19"/>
        <v>Tidak Ada</v>
      </c>
      <c r="G272" s="14" t="s">
        <v>45</v>
      </c>
      <c r="H272" s="2" t="s">
        <v>64</v>
      </c>
    </row>
    <row r="273" spans="2:11" x14ac:dyDescent="0.25">
      <c r="B273" s="509"/>
      <c r="C273" s="15" t="s">
        <v>628</v>
      </c>
      <c r="D273" s="15" t="s">
        <v>629</v>
      </c>
      <c r="E273" s="107">
        <f t="shared" si="20"/>
        <v>249</v>
      </c>
      <c r="F273" s="14">
        <f t="shared" si="19"/>
        <v>0</v>
      </c>
      <c r="G273" s="14" t="s">
        <v>230</v>
      </c>
      <c r="H273" s="2">
        <v>0</v>
      </c>
      <c r="J273" s="174" t="s">
        <v>571</v>
      </c>
      <c r="K273" s="385" t="s">
        <v>630</v>
      </c>
    </row>
    <row r="274" spans="2:11" x14ac:dyDescent="0.25">
      <c r="B274" s="509"/>
      <c r="C274" s="15" t="s">
        <v>631</v>
      </c>
      <c r="D274" s="15" t="s">
        <v>618</v>
      </c>
      <c r="E274" s="107">
        <f t="shared" si="20"/>
        <v>250</v>
      </c>
      <c r="F274" s="14">
        <f t="shared" si="19"/>
        <v>0</v>
      </c>
      <c r="G274" s="14" t="s">
        <v>204</v>
      </c>
      <c r="H274" s="2">
        <v>0</v>
      </c>
      <c r="J274" s="174" t="s">
        <v>619</v>
      </c>
      <c r="K274" s="385" t="s">
        <v>630</v>
      </c>
    </row>
    <row r="275" spans="2:11" x14ac:dyDescent="0.25">
      <c r="B275" s="509"/>
      <c r="C275" s="15" t="s">
        <v>632</v>
      </c>
      <c r="D275" s="15" t="s">
        <v>621</v>
      </c>
      <c r="E275" s="107">
        <f t="shared" si="20"/>
        <v>251</v>
      </c>
      <c r="F275" s="14">
        <f t="shared" si="19"/>
        <v>0</v>
      </c>
      <c r="G275" s="14" t="s">
        <v>204</v>
      </c>
      <c r="H275" s="2">
        <v>0</v>
      </c>
      <c r="J275" s="174" t="s">
        <v>619</v>
      </c>
      <c r="K275" s="385" t="s">
        <v>630</v>
      </c>
    </row>
    <row r="276" spans="2:11" x14ac:dyDescent="0.25">
      <c r="B276" s="509"/>
      <c r="C276" s="15" t="s">
        <v>633</v>
      </c>
      <c r="D276" s="15" t="s">
        <v>634</v>
      </c>
      <c r="E276" s="107">
        <f t="shared" si="20"/>
        <v>252</v>
      </c>
      <c r="F276" s="14" t="str">
        <f t="shared" si="19"/>
        <v>Tidak Ada</v>
      </c>
      <c r="G276" s="14" t="s">
        <v>45</v>
      </c>
      <c r="H276" s="2" t="s">
        <v>64</v>
      </c>
      <c r="K276" s="385" t="s">
        <v>630</v>
      </c>
    </row>
    <row r="277" spans="2:11" x14ac:dyDescent="0.25">
      <c r="B277" s="510"/>
      <c r="C277" s="15" t="s">
        <v>635</v>
      </c>
      <c r="D277" s="15" t="s">
        <v>636</v>
      </c>
      <c r="E277" s="107">
        <f t="shared" si="20"/>
        <v>253</v>
      </c>
      <c r="F277" s="14" t="str">
        <f t="shared" si="19"/>
        <v>TIDAK ADA</v>
      </c>
      <c r="G277" s="14" t="s">
        <v>33</v>
      </c>
      <c r="H277" s="2" t="s">
        <v>307</v>
      </c>
    </row>
    <row r="278" spans="2:11" x14ac:dyDescent="0.25">
      <c r="B278" s="521">
        <f>B272+1</f>
        <v>227</v>
      </c>
      <c r="C278" s="45" t="s">
        <v>637</v>
      </c>
      <c r="D278" s="15" t="s">
        <v>638</v>
      </c>
      <c r="E278" s="107">
        <f t="shared" si="20"/>
        <v>254</v>
      </c>
      <c r="F278" s="14" t="str">
        <f t="shared" si="19"/>
        <v>Tidak Ada</v>
      </c>
      <c r="G278" s="14" t="s">
        <v>45</v>
      </c>
      <c r="H278" s="2" t="s">
        <v>64</v>
      </c>
    </row>
    <row r="279" spans="2:11" x14ac:dyDescent="0.25">
      <c r="B279" s="509"/>
      <c r="C279" s="15" t="s">
        <v>639</v>
      </c>
      <c r="D279" s="15" t="s">
        <v>640</v>
      </c>
      <c r="E279" s="107">
        <f t="shared" si="20"/>
        <v>255</v>
      </c>
      <c r="F279" s="14">
        <f t="shared" si="19"/>
        <v>0</v>
      </c>
      <c r="G279" s="14" t="s">
        <v>230</v>
      </c>
      <c r="H279" s="2">
        <v>0</v>
      </c>
      <c r="J279" s="174" t="s">
        <v>571</v>
      </c>
      <c r="K279" s="385" t="s">
        <v>641</v>
      </c>
    </row>
    <row r="280" spans="2:11" x14ac:dyDescent="0.25">
      <c r="B280" s="509"/>
      <c r="C280" s="15" t="s">
        <v>642</v>
      </c>
      <c r="D280" s="15" t="s">
        <v>618</v>
      </c>
      <c r="E280" s="107">
        <f t="shared" si="20"/>
        <v>256</v>
      </c>
      <c r="F280" s="14">
        <f t="shared" si="19"/>
        <v>0</v>
      </c>
      <c r="G280" s="14" t="s">
        <v>204</v>
      </c>
      <c r="H280" s="4">
        <v>0</v>
      </c>
      <c r="J280" s="174" t="s">
        <v>619</v>
      </c>
      <c r="K280" s="385" t="s">
        <v>641</v>
      </c>
    </row>
    <row r="281" spans="2:11" x14ac:dyDescent="0.25">
      <c r="B281" s="509"/>
      <c r="C281" s="15" t="s">
        <v>643</v>
      </c>
      <c r="D281" s="15" t="s">
        <v>621</v>
      </c>
      <c r="E281" s="107">
        <f t="shared" si="20"/>
        <v>257</v>
      </c>
      <c r="F281" s="14">
        <f t="shared" si="19"/>
        <v>0</v>
      </c>
      <c r="G281" s="14" t="s">
        <v>204</v>
      </c>
      <c r="H281" s="2">
        <v>0</v>
      </c>
      <c r="J281" s="174" t="s">
        <v>619</v>
      </c>
      <c r="K281" s="385" t="s">
        <v>641</v>
      </c>
    </row>
    <row r="282" spans="2:11" x14ac:dyDescent="0.25">
      <c r="B282" s="509"/>
      <c r="C282" s="15" t="s">
        <v>644</v>
      </c>
      <c r="D282" s="15" t="s">
        <v>645</v>
      </c>
      <c r="E282" s="107">
        <f t="shared" si="20"/>
        <v>258</v>
      </c>
      <c r="F282" s="14" t="str">
        <f t="shared" si="19"/>
        <v>Tidak Ada</v>
      </c>
      <c r="G282" s="14" t="s">
        <v>45</v>
      </c>
      <c r="H282" s="2" t="s">
        <v>64</v>
      </c>
      <c r="K282" s="385" t="s">
        <v>641</v>
      </c>
    </row>
    <row r="283" spans="2:11" x14ac:dyDescent="0.25">
      <c r="B283" s="510"/>
      <c r="C283" s="15" t="s">
        <v>646</v>
      </c>
      <c r="D283" s="15" t="s">
        <v>647</v>
      </c>
      <c r="E283" s="107">
        <f t="shared" si="20"/>
        <v>259</v>
      </c>
      <c r="F283" s="14" t="str">
        <f t="shared" si="19"/>
        <v>TIDAK ADA</v>
      </c>
      <c r="G283" s="14" t="s">
        <v>33</v>
      </c>
      <c r="H283" s="2" t="s">
        <v>307</v>
      </c>
    </row>
    <row r="284" spans="2:11" x14ac:dyDescent="0.25">
      <c r="B284" s="521">
        <f>B278+1</f>
        <v>228</v>
      </c>
      <c r="C284" s="45" t="s">
        <v>648</v>
      </c>
      <c r="D284" s="15" t="s">
        <v>649</v>
      </c>
      <c r="E284" s="107">
        <f t="shared" si="20"/>
        <v>260</v>
      </c>
      <c r="F284" s="14" t="str">
        <f t="shared" si="19"/>
        <v>Tidak Ada</v>
      </c>
      <c r="G284" s="14" t="s">
        <v>45</v>
      </c>
      <c r="H284" s="2" t="s">
        <v>64</v>
      </c>
    </row>
    <row r="285" spans="2:11" x14ac:dyDescent="0.25">
      <c r="B285" s="509"/>
      <c r="C285" s="15" t="s">
        <v>650</v>
      </c>
      <c r="D285" s="15" t="s">
        <v>651</v>
      </c>
      <c r="E285" s="107">
        <f t="shared" si="20"/>
        <v>261</v>
      </c>
      <c r="F285" s="14">
        <f t="shared" si="19"/>
        <v>0</v>
      </c>
      <c r="G285" s="14" t="s">
        <v>230</v>
      </c>
      <c r="H285" s="2">
        <v>0</v>
      </c>
      <c r="J285" s="174" t="s">
        <v>571</v>
      </c>
      <c r="K285" s="385" t="s">
        <v>652</v>
      </c>
    </row>
    <row r="286" spans="2:11" x14ac:dyDescent="0.25">
      <c r="B286" s="509"/>
      <c r="C286" s="15" t="s">
        <v>653</v>
      </c>
      <c r="D286" s="15" t="s">
        <v>618</v>
      </c>
      <c r="E286" s="107">
        <f t="shared" si="20"/>
        <v>262</v>
      </c>
      <c r="F286" s="14">
        <f t="shared" si="19"/>
        <v>0</v>
      </c>
      <c r="G286" s="14" t="s">
        <v>204</v>
      </c>
      <c r="H286" s="2">
        <v>0</v>
      </c>
      <c r="J286" s="174" t="s">
        <v>619</v>
      </c>
      <c r="K286" s="385" t="s">
        <v>652</v>
      </c>
    </row>
    <row r="287" spans="2:11" x14ac:dyDescent="0.25">
      <c r="B287" s="509"/>
      <c r="C287" s="15" t="s">
        <v>654</v>
      </c>
      <c r="D287" s="15" t="s">
        <v>621</v>
      </c>
      <c r="E287" s="107">
        <f t="shared" si="20"/>
        <v>263</v>
      </c>
      <c r="F287" s="14">
        <f t="shared" si="19"/>
        <v>0</v>
      </c>
      <c r="G287" s="14" t="s">
        <v>204</v>
      </c>
      <c r="H287" s="2">
        <v>0</v>
      </c>
      <c r="J287" s="174" t="s">
        <v>619</v>
      </c>
      <c r="K287" s="385" t="s">
        <v>652</v>
      </c>
    </row>
    <row r="288" spans="2:11" x14ac:dyDescent="0.25">
      <c r="B288" s="509"/>
      <c r="C288" s="15" t="s">
        <v>655</v>
      </c>
      <c r="D288" s="15" t="s">
        <v>656</v>
      </c>
      <c r="E288" s="107">
        <f t="shared" si="20"/>
        <v>264</v>
      </c>
      <c r="F288" s="14" t="str">
        <f t="shared" si="19"/>
        <v>Tidak Ada</v>
      </c>
      <c r="G288" s="14" t="s">
        <v>45</v>
      </c>
      <c r="H288" s="2" t="s">
        <v>64</v>
      </c>
      <c r="K288" s="385" t="s">
        <v>652</v>
      </c>
    </row>
    <row r="289" spans="2:11" x14ac:dyDescent="0.25">
      <c r="B289" s="510"/>
      <c r="C289" s="15" t="s">
        <v>657</v>
      </c>
      <c r="D289" s="15" t="s">
        <v>647</v>
      </c>
      <c r="E289" s="107">
        <f t="shared" si="20"/>
        <v>265</v>
      </c>
      <c r="F289" s="14">
        <f t="shared" si="19"/>
        <v>0</v>
      </c>
      <c r="G289" s="14" t="s">
        <v>33</v>
      </c>
      <c r="H289" s="2">
        <v>0</v>
      </c>
    </row>
    <row r="290" spans="2:11" x14ac:dyDescent="0.25">
      <c r="B290" s="521">
        <f>B284+1</f>
        <v>229</v>
      </c>
      <c r="C290" s="45" t="s">
        <v>658</v>
      </c>
      <c r="D290" s="15" t="s">
        <v>659</v>
      </c>
      <c r="E290" s="107">
        <f t="shared" si="20"/>
        <v>266</v>
      </c>
      <c r="F290" s="14" t="str">
        <f t="shared" si="19"/>
        <v>Tidak Ada</v>
      </c>
      <c r="G290" s="14" t="s">
        <v>45</v>
      </c>
      <c r="H290" s="2" t="s">
        <v>64</v>
      </c>
    </row>
    <row r="291" spans="2:11" x14ac:dyDescent="0.25">
      <c r="B291" s="509"/>
      <c r="C291" s="15" t="s">
        <v>660</v>
      </c>
      <c r="D291" s="15" t="s">
        <v>661</v>
      </c>
      <c r="E291" s="107">
        <f t="shared" si="20"/>
        <v>267</v>
      </c>
      <c r="F291" s="14">
        <f t="shared" si="19"/>
        <v>0</v>
      </c>
      <c r="G291" s="14" t="s">
        <v>230</v>
      </c>
      <c r="H291" s="2">
        <v>0</v>
      </c>
      <c r="J291" s="174" t="s">
        <v>571</v>
      </c>
      <c r="K291" s="385" t="s">
        <v>662</v>
      </c>
    </row>
    <row r="292" spans="2:11" x14ac:dyDescent="0.25">
      <c r="B292" s="509"/>
      <c r="C292" s="15" t="s">
        <v>663</v>
      </c>
      <c r="D292" s="15" t="s">
        <v>618</v>
      </c>
      <c r="E292" s="107">
        <f t="shared" si="20"/>
        <v>268</v>
      </c>
      <c r="F292" s="14">
        <f t="shared" si="19"/>
        <v>0</v>
      </c>
      <c r="G292" s="14" t="s">
        <v>204</v>
      </c>
      <c r="H292" s="2">
        <v>0</v>
      </c>
      <c r="J292" s="174" t="s">
        <v>619</v>
      </c>
      <c r="K292" s="385" t="s">
        <v>662</v>
      </c>
    </row>
    <row r="293" spans="2:11" x14ac:dyDescent="0.25">
      <c r="B293" s="509"/>
      <c r="C293" s="15" t="s">
        <v>664</v>
      </c>
      <c r="D293" s="15" t="s">
        <v>621</v>
      </c>
      <c r="E293" s="107">
        <f t="shared" si="20"/>
        <v>269</v>
      </c>
      <c r="F293" s="14">
        <f t="shared" si="19"/>
        <v>0</v>
      </c>
      <c r="G293" s="14" t="s">
        <v>204</v>
      </c>
      <c r="H293" s="2">
        <v>0</v>
      </c>
      <c r="J293" s="174" t="s">
        <v>619</v>
      </c>
      <c r="K293" s="385" t="s">
        <v>662</v>
      </c>
    </row>
    <row r="294" spans="2:11" x14ac:dyDescent="0.25">
      <c r="B294" s="509"/>
      <c r="C294" s="15" t="s">
        <v>665</v>
      </c>
      <c r="D294" s="15" t="s">
        <v>666</v>
      </c>
      <c r="E294" s="107">
        <f t="shared" si="20"/>
        <v>270</v>
      </c>
      <c r="F294" s="14" t="str">
        <f t="shared" si="19"/>
        <v>Tidak Ada</v>
      </c>
      <c r="G294" s="14" t="s">
        <v>45</v>
      </c>
      <c r="H294" s="2" t="s">
        <v>64</v>
      </c>
      <c r="K294" s="385" t="s">
        <v>662</v>
      </c>
    </row>
    <row r="295" spans="2:11" x14ac:dyDescent="0.25">
      <c r="B295" s="510"/>
      <c r="C295" s="15" t="s">
        <v>667</v>
      </c>
      <c r="D295" s="15" t="s">
        <v>668</v>
      </c>
      <c r="E295" s="107">
        <f t="shared" si="20"/>
        <v>271</v>
      </c>
      <c r="F295" s="14" t="str">
        <f t="shared" si="19"/>
        <v>TIDAK ADA</v>
      </c>
      <c r="G295" s="14" t="s">
        <v>33</v>
      </c>
      <c r="H295" s="2" t="s">
        <v>307</v>
      </c>
    </row>
    <row r="296" spans="2:11" x14ac:dyDescent="0.25">
      <c r="B296" s="521">
        <f>B290+1</f>
        <v>230</v>
      </c>
      <c r="C296" s="45" t="s">
        <v>669</v>
      </c>
      <c r="D296" s="15" t="s">
        <v>670</v>
      </c>
      <c r="E296" s="107">
        <f t="shared" si="20"/>
        <v>272</v>
      </c>
      <c r="F296" s="14" t="str">
        <f t="shared" si="19"/>
        <v>Tidak Ada</v>
      </c>
      <c r="G296" s="14" t="s">
        <v>45</v>
      </c>
      <c r="H296" s="2" t="s">
        <v>64</v>
      </c>
    </row>
    <row r="297" spans="2:11" x14ac:dyDescent="0.25">
      <c r="B297" s="509"/>
      <c r="C297" s="15" t="s">
        <v>671</v>
      </c>
      <c r="D297" s="15" t="s">
        <v>672</v>
      </c>
      <c r="E297" s="107">
        <f t="shared" si="20"/>
        <v>273</v>
      </c>
      <c r="F297" s="14">
        <f t="shared" si="19"/>
        <v>0</v>
      </c>
      <c r="G297" s="14" t="s">
        <v>33</v>
      </c>
      <c r="H297" s="2">
        <v>0</v>
      </c>
    </row>
    <row r="298" spans="2:11" x14ac:dyDescent="0.25">
      <c r="B298" s="509"/>
      <c r="C298" s="15" t="s">
        <v>673</v>
      </c>
      <c r="D298" s="15" t="s">
        <v>674</v>
      </c>
      <c r="E298" s="107">
        <f t="shared" si="20"/>
        <v>274</v>
      </c>
      <c r="F298" s="14">
        <f t="shared" si="19"/>
        <v>0</v>
      </c>
      <c r="G298" s="14" t="s">
        <v>230</v>
      </c>
      <c r="H298" s="2">
        <v>0</v>
      </c>
      <c r="J298" s="174" t="s">
        <v>571</v>
      </c>
      <c r="K298" s="385" t="s">
        <v>675</v>
      </c>
    </row>
    <row r="299" spans="2:11" x14ac:dyDescent="0.25">
      <c r="B299" s="509"/>
      <c r="C299" s="15" t="s">
        <v>676</v>
      </c>
      <c r="D299" s="15" t="s">
        <v>618</v>
      </c>
      <c r="E299" s="107">
        <f t="shared" si="20"/>
        <v>275</v>
      </c>
      <c r="F299" s="14">
        <f t="shared" si="19"/>
        <v>0</v>
      </c>
      <c r="G299" s="14" t="s">
        <v>204</v>
      </c>
      <c r="H299" s="2">
        <v>0</v>
      </c>
      <c r="J299" s="174" t="s">
        <v>619</v>
      </c>
      <c r="K299" s="385" t="s">
        <v>675</v>
      </c>
    </row>
    <row r="300" spans="2:11" x14ac:dyDescent="0.25">
      <c r="B300" s="509"/>
      <c r="C300" s="15" t="s">
        <v>677</v>
      </c>
      <c r="D300" s="15" t="s">
        <v>621</v>
      </c>
      <c r="E300" s="107">
        <f t="shared" si="20"/>
        <v>276</v>
      </c>
      <c r="F300" s="14">
        <f t="shared" si="19"/>
        <v>0</v>
      </c>
      <c r="G300" s="14" t="s">
        <v>204</v>
      </c>
      <c r="H300" s="2">
        <v>0</v>
      </c>
      <c r="J300" s="174" t="s">
        <v>619</v>
      </c>
      <c r="K300" s="385" t="s">
        <v>675</v>
      </c>
    </row>
    <row r="301" spans="2:11" x14ac:dyDescent="0.25">
      <c r="B301" s="509"/>
      <c r="C301" s="15" t="s">
        <v>678</v>
      </c>
      <c r="D301" s="15" t="s">
        <v>679</v>
      </c>
      <c r="E301" s="107">
        <f t="shared" si="20"/>
        <v>277</v>
      </c>
      <c r="F301" s="14" t="str">
        <f t="shared" si="19"/>
        <v>Tidak Ada</v>
      </c>
      <c r="G301" s="14" t="s">
        <v>45</v>
      </c>
      <c r="H301" s="2" t="s">
        <v>64</v>
      </c>
      <c r="K301" s="385" t="s">
        <v>675</v>
      </c>
    </row>
    <row r="302" spans="2:11" x14ac:dyDescent="0.25">
      <c r="B302" s="510"/>
      <c r="C302" s="15" t="s">
        <v>680</v>
      </c>
      <c r="D302" s="15" t="s">
        <v>681</v>
      </c>
      <c r="E302" s="107">
        <f t="shared" si="20"/>
        <v>278</v>
      </c>
      <c r="F302" s="14" t="str">
        <f t="shared" si="19"/>
        <v>TIDAK ADA</v>
      </c>
      <c r="G302" s="14" t="s">
        <v>33</v>
      </c>
      <c r="H302" s="2" t="s">
        <v>307</v>
      </c>
    </row>
    <row r="303" spans="2:11" x14ac:dyDescent="0.25">
      <c r="B303" s="255"/>
      <c r="C303" s="45" t="s">
        <v>682</v>
      </c>
      <c r="D303" s="95"/>
      <c r="E303" s="133"/>
      <c r="F303" s="14"/>
      <c r="G303" s="14"/>
    </row>
    <row r="304" spans="2:11" x14ac:dyDescent="0.25">
      <c r="B304" s="521">
        <f>B296+1</f>
        <v>231</v>
      </c>
      <c r="C304" s="45" t="s">
        <v>683</v>
      </c>
      <c r="D304" s="15" t="s">
        <v>684</v>
      </c>
      <c r="E304" s="107">
        <f>E302+1</f>
        <v>279</v>
      </c>
      <c r="F304" s="14" t="str">
        <f t="shared" ref="F304:F340" si="21">H304</f>
        <v>Tidak Ada</v>
      </c>
      <c r="G304" s="14" t="s">
        <v>45</v>
      </c>
      <c r="H304" s="2" t="s">
        <v>64</v>
      </c>
    </row>
    <row r="305" spans="2:11" x14ac:dyDescent="0.25">
      <c r="B305" s="509"/>
      <c r="C305" s="15" t="s">
        <v>685</v>
      </c>
      <c r="D305" s="15" t="s">
        <v>686</v>
      </c>
      <c r="E305" s="107">
        <f t="shared" ref="E305:E340" si="22">E304+1</f>
        <v>280</v>
      </c>
      <c r="F305" s="14">
        <f t="shared" si="21"/>
        <v>0</v>
      </c>
      <c r="G305" s="14" t="s">
        <v>230</v>
      </c>
      <c r="H305" s="2">
        <v>0</v>
      </c>
      <c r="J305" s="174" t="s">
        <v>571</v>
      </c>
      <c r="K305" s="385" t="s">
        <v>687</v>
      </c>
    </row>
    <row r="306" spans="2:11" x14ac:dyDescent="0.25">
      <c r="B306" s="509"/>
      <c r="C306" s="15" t="s">
        <v>688</v>
      </c>
      <c r="D306" s="15" t="s">
        <v>618</v>
      </c>
      <c r="E306" s="107">
        <f t="shared" si="22"/>
        <v>281</v>
      </c>
      <c r="F306" s="14">
        <f t="shared" si="21"/>
        <v>0</v>
      </c>
      <c r="G306" s="14" t="s">
        <v>204</v>
      </c>
      <c r="H306" s="2">
        <v>0</v>
      </c>
      <c r="J306" s="174" t="s">
        <v>619</v>
      </c>
      <c r="K306" s="385" t="s">
        <v>687</v>
      </c>
    </row>
    <row r="307" spans="2:11" x14ac:dyDescent="0.25">
      <c r="B307" s="509"/>
      <c r="C307" s="15" t="s">
        <v>689</v>
      </c>
      <c r="D307" s="15" t="s">
        <v>621</v>
      </c>
      <c r="E307" s="107">
        <f t="shared" si="22"/>
        <v>282</v>
      </c>
      <c r="F307" s="14">
        <f t="shared" si="21"/>
        <v>0</v>
      </c>
      <c r="G307" s="14" t="s">
        <v>204</v>
      </c>
      <c r="H307" s="2">
        <v>0</v>
      </c>
      <c r="J307" s="174" t="s">
        <v>619</v>
      </c>
      <c r="K307" s="385" t="s">
        <v>687</v>
      </c>
    </row>
    <row r="308" spans="2:11" x14ac:dyDescent="0.25">
      <c r="B308" s="509"/>
      <c r="C308" s="15" t="s">
        <v>690</v>
      </c>
      <c r="D308" s="15" t="s">
        <v>691</v>
      </c>
      <c r="E308" s="107">
        <f t="shared" si="22"/>
        <v>283</v>
      </c>
      <c r="F308" s="14" t="str">
        <f t="shared" si="21"/>
        <v>Tidak Ada</v>
      </c>
      <c r="G308" s="14" t="s">
        <v>45</v>
      </c>
      <c r="H308" s="2" t="s">
        <v>64</v>
      </c>
      <c r="K308" s="385" t="s">
        <v>687</v>
      </c>
    </row>
    <row r="309" spans="2:11" x14ac:dyDescent="0.25">
      <c r="B309" s="510"/>
      <c r="C309" s="15" t="s">
        <v>692</v>
      </c>
      <c r="D309" s="15" t="s">
        <v>693</v>
      </c>
      <c r="E309" s="107">
        <f t="shared" si="22"/>
        <v>284</v>
      </c>
      <c r="F309" s="14" t="str">
        <f t="shared" si="21"/>
        <v>TIDAK ADA</v>
      </c>
      <c r="G309" s="14" t="s">
        <v>33</v>
      </c>
      <c r="H309" s="2" t="s">
        <v>307</v>
      </c>
    </row>
    <row r="310" spans="2:11" x14ac:dyDescent="0.25">
      <c r="B310" s="521">
        <f>B304+1</f>
        <v>232</v>
      </c>
      <c r="C310" s="45" t="s">
        <v>694</v>
      </c>
      <c r="D310" s="15" t="s">
        <v>695</v>
      </c>
      <c r="E310" s="107">
        <f t="shared" si="22"/>
        <v>285</v>
      </c>
      <c r="F310" s="14" t="str">
        <f t="shared" si="21"/>
        <v>Tidak Ada</v>
      </c>
      <c r="G310" s="14" t="s">
        <v>45</v>
      </c>
      <c r="H310" s="2" t="s">
        <v>64</v>
      </c>
    </row>
    <row r="311" spans="2:11" x14ac:dyDescent="0.25">
      <c r="B311" s="509"/>
      <c r="C311" s="15" t="s">
        <v>696</v>
      </c>
      <c r="D311" s="15" t="s">
        <v>697</v>
      </c>
      <c r="E311" s="107">
        <f t="shared" si="22"/>
        <v>286</v>
      </c>
      <c r="F311" s="14">
        <f t="shared" si="21"/>
        <v>0</v>
      </c>
      <c r="G311" s="14" t="s">
        <v>230</v>
      </c>
      <c r="H311" s="2">
        <v>0</v>
      </c>
      <c r="J311" s="174" t="s">
        <v>571</v>
      </c>
      <c r="K311" s="385" t="s">
        <v>698</v>
      </c>
    </row>
    <row r="312" spans="2:11" x14ac:dyDescent="0.25">
      <c r="B312" s="509"/>
      <c r="C312" s="15" t="s">
        <v>699</v>
      </c>
      <c r="D312" s="15" t="s">
        <v>618</v>
      </c>
      <c r="E312" s="107">
        <f t="shared" si="22"/>
        <v>287</v>
      </c>
      <c r="F312" s="14">
        <f t="shared" si="21"/>
        <v>0</v>
      </c>
      <c r="G312" s="14" t="s">
        <v>204</v>
      </c>
      <c r="H312" s="2">
        <v>0</v>
      </c>
      <c r="J312" s="174" t="s">
        <v>619</v>
      </c>
      <c r="K312" s="385" t="s">
        <v>698</v>
      </c>
    </row>
    <row r="313" spans="2:11" x14ac:dyDescent="0.25">
      <c r="B313" s="509"/>
      <c r="C313" s="15" t="s">
        <v>700</v>
      </c>
      <c r="D313" s="15" t="s">
        <v>621</v>
      </c>
      <c r="E313" s="107">
        <f t="shared" si="22"/>
        <v>288</v>
      </c>
      <c r="F313" s="14">
        <f t="shared" si="21"/>
        <v>0</v>
      </c>
      <c r="G313" s="14" t="s">
        <v>204</v>
      </c>
      <c r="H313" s="2">
        <v>0</v>
      </c>
      <c r="J313" s="174" t="s">
        <v>619</v>
      </c>
      <c r="K313" s="385" t="s">
        <v>698</v>
      </c>
    </row>
    <row r="314" spans="2:11" x14ac:dyDescent="0.25">
      <c r="B314" s="509"/>
      <c r="C314" s="15" t="s">
        <v>701</v>
      </c>
      <c r="D314" s="15" t="s">
        <v>702</v>
      </c>
      <c r="E314" s="107">
        <f t="shared" si="22"/>
        <v>289</v>
      </c>
      <c r="F314" s="14" t="str">
        <f t="shared" si="21"/>
        <v>Tidak Ada</v>
      </c>
      <c r="G314" s="14" t="s">
        <v>45</v>
      </c>
      <c r="H314" s="2" t="s">
        <v>64</v>
      </c>
      <c r="K314" s="385" t="s">
        <v>698</v>
      </c>
    </row>
    <row r="315" spans="2:11" x14ac:dyDescent="0.25">
      <c r="B315" s="510"/>
      <c r="C315" s="15" t="s">
        <v>703</v>
      </c>
      <c r="D315" s="15" t="s">
        <v>704</v>
      </c>
      <c r="E315" s="107">
        <f t="shared" si="22"/>
        <v>290</v>
      </c>
      <c r="F315" s="14" t="str">
        <f t="shared" si="21"/>
        <v>TIDAK ADA</v>
      </c>
      <c r="G315" s="14" t="s">
        <v>33</v>
      </c>
      <c r="H315" s="2" t="s">
        <v>307</v>
      </c>
    </row>
    <row r="316" spans="2:11" x14ac:dyDescent="0.25">
      <c r="B316" s="521">
        <f>B310+1</f>
        <v>233</v>
      </c>
      <c r="C316" s="45" t="s">
        <v>705</v>
      </c>
      <c r="D316" s="15" t="s">
        <v>706</v>
      </c>
      <c r="E316" s="107">
        <f t="shared" si="22"/>
        <v>291</v>
      </c>
      <c r="F316" s="14" t="str">
        <f t="shared" si="21"/>
        <v>Tidak Ada</v>
      </c>
      <c r="G316" s="14" t="s">
        <v>45</v>
      </c>
      <c r="H316" s="2" t="s">
        <v>64</v>
      </c>
    </row>
    <row r="317" spans="2:11" x14ac:dyDescent="0.25">
      <c r="B317" s="509"/>
      <c r="C317" s="15" t="s">
        <v>707</v>
      </c>
      <c r="D317" s="15" t="s">
        <v>708</v>
      </c>
      <c r="E317" s="107">
        <f t="shared" si="22"/>
        <v>292</v>
      </c>
      <c r="F317" s="14">
        <f t="shared" si="21"/>
        <v>0</v>
      </c>
      <c r="G317" s="14" t="s">
        <v>230</v>
      </c>
      <c r="H317" s="2">
        <v>0</v>
      </c>
      <c r="J317" s="174" t="s">
        <v>571</v>
      </c>
      <c r="K317" s="385" t="s">
        <v>709</v>
      </c>
    </row>
    <row r="318" spans="2:11" x14ac:dyDescent="0.25">
      <c r="B318" s="509"/>
      <c r="C318" s="15" t="s">
        <v>710</v>
      </c>
      <c r="D318" s="15" t="s">
        <v>618</v>
      </c>
      <c r="E318" s="107">
        <f t="shared" si="22"/>
        <v>293</v>
      </c>
      <c r="F318" s="14">
        <f t="shared" si="21"/>
        <v>0</v>
      </c>
      <c r="G318" s="14" t="s">
        <v>204</v>
      </c>
      <c r="H318" s="2">
        <v>0</v>
      </c>
      <c r="J318" s="174" t="s">
        <v>619</v>
      </c>
      <c r="K318" s="385" t="s">
        <v>709</v>
      </c>
    </row>
    <row r="319" spans="2:11" x14ac:dyDescent="0.25">
      <c r="B319" s="509"/>
      <c r="C319" s="15" t="s">
        <v>711</v>
      </c>
      <c r="D319" s="15" t="s">
        <v>621</v>
      </c>
      <c r="E319" s="107">
        <f t="shared" si="22"/>
        <v>294</v>
      </c>
      <c r="F319" s="14">
        <f t="shared" si="21"/>
        <v>0</v>
      </c>
      <c r="G319" s="14" t="s">
        <v>204</v>
      </c>
      <c r="H319" s="2">
        <v>0</v>
      </c>
      <c r="J319" s="174" t="s">
        <v>619</v>
      </c>
      <c r="K319" s="385" t="s">
        <v>709</v>
      </c>
    </row>
    <row r="320" spans="2:11" x14ac:dyDescent="0.25">
      <c r="B320" s="509"/>
      <c r="C320" s="15" t="s">
        <v>712</v>
      </c>
      <c r="D320" s="15" t="s">
        <v>713</v>
      </c>
      <c r="E320" s="107">
        <f t="shared" si="22"/>
        <v>295</v>
      </c>
      <c r="F320" s="14" t="str">
        <f t="shared" si="21"/>
        <v>Tidak Ada</v>
      </c>
      <c r="G320" s="14" t="s">
        <v>45</v>
      </c>
      <c r="H320" s="2" t="s">
        <v>64</v>
      </c>
      <c r="K320" s="385" t="s">
        <v>709</v>
      </c>
    </row>
    <row r="321" spans="2:11" x14ac:dyDescent="0.25">
      <c r="B321" s="510"/>
      <c r="C321" s="15" t="s">
        <v>714</v>
      </c>
      <c r="D321" s="15" t="s">
        <v>715</v>
      </c>
      <c r="E321" s="107">
        <f t="shared" si="22"/>
        <v>296</v>
      </c>
      <c r="F321" s="14" t="str">
        <f t="shared" si="21"/>
        <v>TIDAK ADA</v>
      </c>
      <c r="G321" s="14" t="s">
        <v>33</v>
      </c>
      <c r="H321" s="2" t="s">
        <v>307</v>
      </c>
    </row>
    <row r="322" spans="2:11" x14ac:dyDescent="0.25">
      <c r="B322" s="521">
        <f>B316+1</f>
        <v>234</v>
      </c>
      <c r="C322" s="45" t="s">
        <v>716</v>
      </c>
      <c r="D322" s="15" t="s">
        <v>717</v>
      </c>
      <c r="E322" s="107">
        <f t="shared" si="22"/>
        <v>297</v>
      </c>
      <c r="F322" s="14" t="str">
        <f t="shared" si="21"/>
        <v>Tidak Ada</v>
      </c>
      <c r="G322" s="14" t="s">
        <v>45</v>
      </c>
      <c r="H322" s="2" t="s">
        <v>64</v>
      </c>
    </row>
    <row r="323" spans="2:11" x14ac:dyDescent="0.25">
      <c r="B323" s="509"/>
      <c r="C323" s="15" t="s">
        <v>718</v>
      </c>
      <c r="D323" s="15" t="s">
        <v>719</v>
      </c>
      <c r="E323" s="107">
        <f t="shared" si="22"/>
        <v>298</v>
      </c>
      <c r="F323" s="14">
        <f t="shared" si="21"/>
        <v>0</v>
      </c>
      <c r="G323" s="14" t="s">
        <v>230</v>
      </c>
      <c r="H323" s="2">
        <v>0</v>
      </c>
      <c r="J323" s="174" t="s">
        <v>571</v>
      </c>
      <c r="K323" s="385" t="s">
        <v>720</v>
      </c>
    </row>
    <row r="324" spans="2:11" x14ac:dyDescent="0.25">
      <c r="B324" s="509"/>
      <c r="C324" s="15" t="s">
        <v>721</v>
      </c>
      <c r="D324" s="15" t="s">
        <v>618</v>
      </c>
      <c r="E324" s="107">
        <f t="shared" si="22"/>
        <v>299</v>
      </c>
      <c r="F324" s="14">
        <f t="shared" si="21"/>
        <v>0</v>
      </c>
      <c r="G324" s="14" t="s">
        <v>204</v>
      </c>
      <c r="H324" s="2">
        <v>0</v>
      </c>
      <c r="J324" s="174" t="s">
        <v>619</v>
      </c>
      <c r="K324" s="385" t="s">
        <v>720</v>
      </c>
    </row>
    <row r="325" spans="2:11" x14ac:dyDescent="0.25">
      <c r="B325" s="509"/>
      <c r="C325" s="15" t="s">
        <v>722</v>
      </c>
      <c r="D325" s="15" t="s">
        <v>621</v>
      </c>
      <c r="E325" s="107">
        <f t="shared" si="22"/>
        <v>300</v>
      </c>
      <c r="F325" s="14">
        <f t="shared" si="21"/>
        <v>0</v>
      </c>
      <c r="G325" s="14" t="s">
        <v>204</v>
      </c>
      <c r="H325" s="2">
        <v>0</v>
      </c>
      <c r="J325" s="174" t="s">
        <v>619</v>
      </c>
      <c r="K325" s="385" t="s">
        <v>720</v>
      </c>
    </row>
    <row r="326" spans="2:11" x14ac:dyDescent="0.25">
      <c r="B326" s="509"/>
      <c r="C326" s="15" t="s">
        <v>723</v>
      </c>
      <c r="D326" s="15" t="s">
        <v>724</v>
      </c>
      <c r="E326" s="107">
        <f t="shared" si="22"/>
        <v>301</v>
      </c>
      <c r="F326" s="14" t="str">
        <f t="shared" si="21"/>
        <v>Tidak Ada</v>
      </c>
      <c r="G326" s="14" t="s">
        <v>45</v>
      </c>
      <c r="H326" s="2" t="s">
        <v>64</v>
      </c>
      <c r="K326" s="385" t="s">
        <v>720</v>
      </c>
    </row>
    <row r="327" spans="2:11" x14ac:dyDescent="0.25">
      <c r="B327" s="510"/>
      <c r="C327" s="15" t="s">
        <v>725</v>
      </c>
      <c r="D327" s="15" t="s">
        <v>726</v>
      </c>
      <c r="E327" s="107">
        <f t="shared" si="22"/>
        <v>302</v>
      </c>
      <c r="F327" s="14" t="str">
        <f t="shared" si="21"/>
        <v>TIDAK ADA</v>
      </c>
      <c r="G327" s="14" t="s">
        <v>33</v>
      </c>
      <c r="H327" s="2" t="s">
        <v>307</v>
      </c>
    </row>
    <row r="328" spans="2:11" x14ac:dyDescent="0.25">
      <c r="B328" s="521">
        <f>B322+1</f>
        <v>235</v>
      </c>
      <c r="C328" s="45" t="s">
        <v>727</v>
      </c>
      <c r="D328" s="15" t="s">
        <v>728</v>
      </c>
      <c r="E328" s="107">
        <f t="shared" si="22"/>
        <v>303</v>
      </c>
      <c r="F328" s="14" t="str">
        <f t="shared" si="21"/>
        <v>Tidak Ada</v>
      </c>
      <c r="G328" s="14" t="s">
        <v>45</v>
      </c>
      <c r="H328" s="2" t="s">
        <v>64</v>
      </c>
    </row>
    <row r="329" spans="2:11" x14ac:dyDescent="0.25">
      <c r="B329" s="509"/>
      <c r="C329" s="15" t="s">
        <v>729</v>
      </c>
      <c r="D329" s="15" t="s">
        <v>730</v>
      </c>
      <c r="E329" s="107">
        <f t="shared" si="22"/>
        <v>304</v>
      </c>
      <c r="F329" s="14">
        <f t="shared" si="21"/>
        <v>0</v>
      </c>
      <c r="G329" s="14" t="s">
        <v>230</v>
      </c>
      <c r="H329" s="2">
        <v>0</v>
      </c>
      <c r="J329" s="174" t="s">
        <v>571</v>
      </c>
      <c r="K329" s="385" t="s">
        <v>731</v>
      </c>
    </row>
    <row r="330" spans="2:11" x14ac:dyDescent="0.25">
      <c r="B330" s="509"/>
      <c r="C330" s="15" t="s">
        <v>732</v>
      </c>
      <c r="D330" s="15" t="s">
        <v>618</v>
      </c>
      <c r="E330" s="107">
        <f t="shared" si="22"/>
        <v>305</v>
      </c>
      <c r="F330" s="14">
        <f t="shared" si="21"/>
        <v>0</v>
      </c>
      <c r="G330" s="14" t="s">
        <v>204</v>
      </c>
      <c r="H330" s="2">
        <v>0</v>
      </c>
      <c r="J330" s="174" t="s">
        <v>619</v>
      </c>
      <c r="K330" s="385" t="s">
        <v>731</v>
      </c>
    </row>
    <row r="331" spans="2:11" x14ac:dyDescent="0.25">
      <c r="B331" s="509"/>
      <c r="C331" s="15" t="s">
        <v>733</v>
      </c>
      <c r="D331" s="15" t="s">
        <v>621</v>
      </c>
      <c r="E331" s="107">
        <f t="shared" si="22"/>
        <v>306</v>
      </c>
      <c r="F331" s="14">
        <f t="shared" si="21"/>
        <v>0</v>
      </c>
      <c r="G331" s="14" t="s">
        <v>204</v>
      </c>
      <c r="H331" s="2">
        <v>0</v>
      </c>
      <c r="J331" s="174" t="s">
        <v>619</v>
      </c>
      <c r="K331" s="385" t="s">
        <v>731</v>
      </c>
    </row>
    <row r="332" spans="2:11" x14ac:dyDescent="0.25">
      <c r="B332" s="509"/>
      <c r="C332" s="15" t="s">
        <v>734</v>
      </c>
      <c r="D332" s="15" t="s">
        <v>735</v>
      </c>
      <c r="E332" s="107">
        <f t="shared" si="22"/>
        <v>307</v>
      </c>
      <c r="F332" s="14" t="str">
        <f t="shared" si="21"/>
        <v>Tidak Ada</v>
      </c>
      <c r="G332" s="14" t="s">
        <v>45</v>
      </c>
      <c r="H332" s="2" t="s">
        <v>64</v>
      </c>
      <c r="K332" s="385" t="s">
        <v>731</v>
      </c>
    </row>
    <row r="333" spans="2:11" x14ac:dyDescent="0.25">
      <c r="B333" s="510"/>
      <c r="C333" s="15" t="s">
        <v>736</v>
      </c>
      <c r="D333" s="15" t="s">
        <v>737</v>
      </c>
      <c r="E333" s="107">
        <f t="shared" si="22"/>
        <v>308</v>
      </c>
      <c r="F333" s="14" t="str">
        <f t="shared" si="21"/>
        <v>TIDAK ADA</v>
      </c>
      <c r="G333" s="14" t="s">
        <v>33</v>
      </c>
      <c r="H333" s="2" t="s">
        <v>307</v>
      </c>
    </row>
    <row r="334" spans="2:11" x14ac:dyDescent="0.25">
      <c r="B334" s="521">
        <f>B328+1</f>
        <v>236</v>
      </c>
      <c r="C334" s="45" t="s">
        <v>738</v>
      </c>
      <c r="D334" s="15" t="s">
        <v>739</v>
      </c>
      <c r="E334" s="107">
        <f t="shared" si="22"/>
        <v>309</v>
      </c>
      <c r="F334" s="14" t="str">
        <f t="shared" si="21"/>
        <v>Tidak Ada</v>
      </c>
      <c r="G334" s="14" t="s">
        <v>45</v>
      </c>
      <c r="H334" s="2" t="s">
        <v>64</v>
      </c>
    </row>
    <row r="335" spans="2:11" x14ac:dyDescent="0.25">
      <c r="B335" s="509"/>
      <c r="C335" s="15" t="s">
        <v>740</v>
      </c>
      <c r="D335" s="15" t="s">
        <v>741</v>
      </c>
      <c r="E335" s="107">
        <f t="shared" si="22"/>
        <v>310</v>
      </c>
      <c r="F335" s="14" t="str">
        <f t="shared" si="21"/>
        <v>TIDAK ADA</v>
      </c>
      <c r="G335" s="14" t="s">
        <v>33</v>
      </c>
      <c r="H335" s="2" t="s">
        <v>307</v>
      </c>
    </row>
    <row r="336" spans="2:11" x14ac:dyDescent="0.25">
      <c r="B336" s="509"/>
      <c r="C336" s="15" t="s">
        <v>742</v>
      </c>
      <c r="D336" s="15" t="s">
        <v>743</v>
      </c>
      <c r="E336" s="107">
        <f t="shared" si="22"/>
        <v>311</v>
      </c>
      <c r="F336" s="14">
        <f t="shared" si="21"/>
        <v>0</v>
      </c>
      <c r="G336" s="14" t="s">
        <v>230</v>
      </c>
      <c r="H336" s="2">
        <v>0</v>
      </c>
      <c r="J336" s="174" t="s">
        <v>571</v>
      </c>
      <c r="K336" s="385" t="s">
        <v>744</v>
      </c>
    </row>
    <row r="337" spans="2:11" x14ac:dyDescent="0.25">
      <c r="B337" s="509"/>
      <c r="C337" s="15" t="s">
        <v>676</v>
      </c>
      <c r="D337" s="15" t="s">
        <v>618</v>
      </c>
      <c r="E337" s="107">
        <f t="shared" si="22"/>
        <v>312</v>
      </c>
      <c r="F337" s="14">
        <f t="shared" si="21"/>
        <v>0</v>
      </c>
      <c r="G337" s="14" t="s">
        <v>204</v>
      </c>
      <c r="H337" s="2">
        <v>0</v>
      </c>
      <c r="J337" s="174" t="s">
        <v>619</v>
      </c>
      <c r="K337" s="385" t="s">
        <v>744</v>
      </c>
    </row>
    <row r="338" spans="2:11" x14ac:dyDescent="0.25">
      <c r="B338" s="509"/>
      <c r="C338" s="15" t="s">
        <v>677</v>
      </c>
      <c r="D338" s="15" t="s">
        <v>621</v>
      </c>
      <c r="E338" s="107">
        <f t="shared" si="22"/>
        <v>313</v>
      </c>
      <c r="F338" s="14">
        <f t="shared" si="21"/>
        <v>0</v>
      </c>
      <c r="G338" s="14" t="s">
        <v>204</v>
      </c>
      <c r="H338" s="2">
        <v>0</v>
      </c>
      <c r="J338" s="174" t="s">
        <v>619</v>
      </c>
      <c r="K338" s="385" t="s">
        <v>744</v>
      </c>
    </row>
    <row r="339" spans="2:11" x14ac:dyDescent="0.25">
      <c r="B339" s="509"/>
      <c r="C339" s="15" t="s">
        <v>745</v>
      </c>
      <c r="D339" s="15" t="s">
        <v>746</v>
      </c>
      <c r="E339" s="107">
        <f t="shared" si="22"/>
        <v>314</v>
      </c>
      <c r="F339" s="14" t="str">
        <f t="shared" si="21"/>
        <v>Tidak Ada</v>
      </c>
      <c r="G339" s="14" t="s">
        <v>45</v>
      </c>
      <c r="H339" s="2" t="s">
        <v>64</v>
      </c>
      <c r="K339" s="385" t="s">
        <v>744</v>
      </c>
    </row>
    <row r="340" spans="2:11" x14ac:dyDescent="0.25">
      <c r="B340" s="510"/>
      <c r="C340" s="15" t="s">
        <v>747</v>
      </c>
      <c r="D340" s="15" t="s">
        <v>748</v>
      </c>
      <c r="E340" s="107">
        <f t="shared" si="22"/>
        <v>315</v>
      </c>
      <c r="F340" s="14" t="str">
        <f t="shared" si="21"/>
        <v>TIDAK ADA</v>
      </c>
      <c r="G340" s="14" t="s">
        <v>33</v>
      </c>
      <c r="H340" s="2" t="s">
        <v>307</v>
      </c>
    </row>
    <row r="341" spans="2:11" x14ac:dyDescent="0.25">
      <c r="B341" s="255"/>
      <c r="C341" s="45" t="s">
        <v>749</v>
      </c>
      <c r="D341" s="15"/>
      <c r="E341" s="133"/>
      <c r="F341" s="14"/>
      <c r="G341" s="14"/>
    </row>
    <row r="342" spans="2:11" x14ac:dyDescent="0.25">
      <c r="B342" s="521">
        <f>B334+1</f>
        <v>237</v>
      </c>
      <c r="C342" s="45" t="s">
        <v>750</v>
      </c>
      <c r="D342" s="15" t="s">
        <v>751</v>
      </c>
      <c r="E342" s="107">
        <f>E340+1</f>
        <v>316</v>
      </c>
      <c r="F342" s="14" t="str">
        <f t="shared" ref="F342:F373" si="23">H342</f>
        <v>Tidak Ada</v>
      </c>
      <c r="G342" s="14" t="s">
        <v>45</v>
      </c>
      <c r="H342" s="2" t="s">
        <v>64</v>
      </c>
    </row>
    <row r="343" spans="2:11" x14ac:dyDescent="0.25">
      <c r="B343" s="509"/>
      <c r="C343" s="15" t="s">
        <v>752</v>
      </c>
      <c r="D343" s="15" t="s">
        <v>753</v>
      </c>
      <c r="E343" s="107">
        <f t="shared" ref="E343:E390" si="24">E342+1</f>
        <v>317</v>
      </c>
      <c r="F343" s="14">
        <f t="shared" si="23"/>
        <v>0</v>
      </c>
      <c r="G343" s="14" t="s">
        <v>230</v>
      </c>
      <c r="H343" s="2">
        <v>0</v>
      </c>
      <c r="J343" s="174" t="s">
        <v>571</v>
      </c>
      <c r="K343" s="385" t="s">
        <v>754</v>
      </c>
    </row>
    <row r="344" spans="2:11" x14ac:dyDescent="0.25">
      <c r="B344" s="509"/>
      <c r="C344" s="15" t="s">
        <v>755</v>
      </c>
      <c r="D344" s="15" t="s">
        <v>618</v>
      </c>
      <c r="E344" s="107">
        <f t="shared" si="24"/>
        <v>318</v>
      </c>
      <c r="F344" s="14">
        <f t="shared" si="23"/>
        <v>0</v>
      </c>
      <c r="G344" s="14" t="s">
        <v>204</v>
      </c>
      <c r="H344" s="2">
        <v>0</v>
      </c>
      <c r="J344" s="174" t="s">
        <v>619</v>
      </c>
      <c r="K344" s="385" t="s">
        <v>754</v>
      </c>
    </row>
    <row r="345" spans="2:11" x14ac:dyDescent="0.25">
      <c r="B345" s="509"/>
      <c r="C345" s="15" t="s">
        <v>756</v>
      </c>
      <c r="D345" s="15" t="s">
        <v>621</v>
      </c>
      <c r="E345" s="107">
        <f t="shared" si="24"/>
        <v>319</v>
      </c>
      <c r="F345" s="14">
        <f t="shared" si="23"/>
        <v>0</v>
      </c>
      <c r="G345" s="14" t="s">
        <v>204</v>
      </c>
      <c r="H345" s="2">
        <v>0</v>
      </c>
      <c r="J345" s="174" t="s">
        <v>619</v>
      </c>
      <c r="K345" s="385" t="s">
        <v>754</v>
      </c>
    </row>
    <row r="346" spans="2:11" x14ac:dyDescent="0.25">
      <c r="B346" s="509"/>
      <c r="C346" s="15" t="s">
        <v>757</v>
      </c>
      <c r="D346" s="15" t="s">
        <v>758</v>
      </c>
      <c r="E346" s="107">
        <f t="shared" si="24"/>
        <v>320</v>
      </c>
      <c r="F346" s="14" t="str">
        <f t="shared" si="23"/>
        <v>Tidak Ada</v>
      </c>
      <c r="G346" s="14" t="s">
        <v>45</v>
      </c>
      <c r="H346" s="2" t="s">
        <v>64</v>
      </c>
      <c r="K346" s="385" t="s">
        <v>754</v>
      </c>
    </row>
    <row r="347" spans="2:11" x14ac:dyDescent="0.25">
      <c r="B347" s="510"/>
      <c r="C347" s="15" t="s">
        <v>759</v>
      </c>
      <c r="D347" s="15" t="s">
        <v>760</v>
      </c>
      <c r="E347" s="107">
        <f t="shared" si="24"/>
        <v>321</v>
      </c>
      <c r="F347" s="14" t="str">
        <f t="shared" si="23"/>
        <v>TIDAK ADA</v>
      </c>
      <c r="G347" s="14" t="s">
        <v>33</v>
      </c>
      <c r="H347" s="2" t="s">
        <v>307</v>
      </c>
    </row>
    <row r="348" spans="2:11" x14ac:dyDescent="0.25">
      <c r="B348" s="521">
        <f>B342+1</f>
        <v>238</v>
      </c>
      <c r="C348" s="45" t="s">
        <v>761</v>
      </c>
      <c r="D348" s="15" t="s">
        <v>762</v>
      </c>
      <c r="E348" s="107">
        <f t="shared" si="24"/>
        <v>322</v>
      </c>
      <c r="F348" s="14" t="str">
        <f t="shared" si="23"/>
        <v>Tidak Ada</v>
      </c>
      <c r="G348" s="14" t="s">
        <v>45</v>
      </c>
      <c r="H348" s="2" t="s">
        <v>64</v>
      </c>
    </row>
    <row r="349" spans="2:11" x14ac:dyDescent="0.25">
      <c r="B349" s="509"/>
      <c r="C349" s="15" t="s">
        <v>763</v>
      </c>
      <c r="D349" s="15" t="s">
        <v>764</v>
      </c>
      <c r="E349" s="107">
        <f t="shared" si="24"/>
        <v>323</v>
      </c>
      <c r="F349" s="14">
        <f t="shared" si="23"/>
        <v>0</v>
      </c>
      <c r="G349" s="14" t="s">
        <v>230</v>
      </c>
      <c r="H349" s="2">
        <v>0</v>
      </c>
      <c r="J349" s="174" t="s">
        <v>571</v>
      </c>
      <c r="K349" s="385" t="s">
        <v>765</v>
      </c>
    </row>
    <row r="350" spans="2:11" x14ac:dyDescent="0.25">
      <c r="B350" s="509"/>
      <c r="C350" s="15" t="s">
        <v>766</v>
      </c>
      <c r="D350" s="15" t="s">
        <v>618</v>
      </c>
      <c r="E350" s="107">
        <f t="shared" si="24"/>
        <v>324</v>
      </c>
      <c r="F350" s="14">
        <f t="shared" si="23"/>
        <v>0</v>
      </c>
      <c r="G350" s="14" t="s">
        <v>204</v>
      </c>
      <c r="H350" s="2">
        <v>0</v>
      </c>
      <c r="J350" s="174" t="s">
        <v>619</v>
      </c>
      <c r="K350" s="385" t="s">
        <v>765</v>
      </c>
    </row>
    <row r="351" spans="2:11" x14ac:dyDescent="0.25">
      <c r="B351" s="509"/>
      <c r="C351" s="15" t="s">
        <v>767</v>
      </c>
      <c r="D351" s="15" t="s">
        <v>621</v>
      </c>
      <c r="E351" s="107">
        <f t="shared" si="24"/>
        <v>325</v>
      </c>
      <c r="F351" s="14">
        <f t="shared" si="23"/>
        <v>0</v>
      </c>
      <c r="G351" s="14" t="s">
        <v>204</v>
      </c>
      <c r="H351" s="2">
        <v>0</v>
      </c>
      <c r="J351" s="174" t="s">
        <v>619</v>
      </c>
      <c r="K351" s="385" t="s">
        <v>765</v>
      </c>
    </row>
    <row r="352" spans="2:11" x14ac:dyDescent="0.25">
      <c r="B352" s="509"/>
      <c r="C352" s="15" t="s">
        <v>768</v>
      </c>
      <c r="D352" s="15" t="s">
        <v>769</v>
      </c>
      <c r="E352" s="107">
        <f t="shared" si="24"/>
        <v>326</v>
      </c>
      <c r="F352" s="14" t="str">
        <f t="shared" si="23"/>
        <v>Tidak Ada</v>
      </c>
      <c r="G352" s="14" t="s">
        <v>45</v>
      </c>
      <c r="H352" s="2" t="s">
        <v>64</v>
      </c>
      <c r="K352" s="385" t="s">
        <v>765</v>
      </c>
    </row>
    <row r="353" spans="2:11" x14ac:dyDescent="0.25">
      <c r="B353" s="510"/>
      <c r="C353" s="15" t="s">
        <v>770</v>
      </c>
      <c r="D353" s="15" t="s">
        <v>771</v>
      </c>
      <c r="E353" s="107">
        <f t="shared" si="24"/>
        <v>327</v>
      </c>
      <c r="F353" s="14" t="str">
        <f t="shared" si="23"/>
        <v>TIDAK ADA</v>
      </c>
      <c r="G353" s="14" t="s">
        <v>33</v>
      </c>
      <c r="H353" s="2" t="s">
        <v>307</v>
      </c>
    </row>
    <row r="354" spans="2:11" x14ac:dyDescent="0.25">
      <c r="B354" s="521">
        <f>B348+1</f>
        <v>239</v>
      </c>
      <c r="C354" s="45" t="s">
        <v>772</v>
      </c>
      <c r="D354" s="15" t="s">
        <v>773</v>
      </c>
      <c r="E354" s="107">
        <f t="shared" si="24"/>
        <v>328</v>
      </c>
      <c r="F354" s="14" t="str">
        <f t="shared" si="23"/>
        <v>Tidak Ada</v>
      </c>
      <c r="G354" s="14" t="s">
        <v>45</v>
      </c>
      <c r="H354" s="2" t="s">
        <v>64</v>
      </c>
    </row>
    <row r="355" spans="2:11" x14ac:dyDescent="0.25">
      <c r="B355" s="509"/>
      <c r="C355" s="15" t="s">
        <v>774</v>
      </c>
      <c r="D355" s="15" t="s">
        <v>775</v>
      </c>
      <c r="E355" s="107">
        <f t="shared" si="24"/>
        <v>329</v>
      </c>
      <c r="F355" s="14">
        <f t="shared" si="23"/>
        <v>0</v>
      </c>
      <c r="G355" s="14" t="s">
        <v>230</v>
      </c>
      <c r="H355" s="2">
        <v>0</v>
      </c>
      <c r="J355" s="174" t="s">
        <v>571</v>
      </c>
      <c r="K355" s="385" t="s">
        <v>776</v>
      </c>
    </row>
    <row r="356" spans="2:11" x14ac:dyDescent="0.25">
      <c r="B356" s="509"/>
      <c r="C356" s="15" t="s">
        <v>777</v>
      </c>
      <c r="D356" s="15" t="s">
        <v>618</v>
      </c>
      <c r="E356" s="107">
        <f t="shared" si="24"/>
        <v>330</v>
      </c>
      <c r="F356" s="14">
        <f t="shared" si="23"/>
        <v>0</v>
      </c>
      <c r="G356" s="14" t="s">
        <v>204</v>
      </c>
      <c r="H356" s="2">
        <v>0</v>
      </c>
      <c r="J356" s="174" t="s">
        <v>619</v>
      </c>
      <c r="K356" s="385" t="s">
        <v>776</v>
      </c>
    </row>
    <row r="357" spans="2:11" x14ac:dyDescent="0.25">
      <c r="B357" s="509"/>
      <c r="C357" s="15" t="s">
        <v>778</v>
      </c>
      <c r="D357" s="15" t="s">
        <v>621</v>
      </c>
      <c r="E357" s="107">
        <f t="shared" si="24"/>
        <v>331</v>
      </c>
      <c r="F357" s="14">
        <f t="shared" si="23"/>
        <v>0</v>
      </c>
      <c r="G357" s="14" t="s">
        <v>204</v>
      </c>
      <c r="H357" s="2">
        <v>0</v>
      </c>
      <c r="J357" s="174" t="s">
        <v>619</v>
      </c>
      <c r="K357" s="385" t="s">
        <v>776</v>
      </c>
    </row>
    <row r="358" spans="2:11" x14ac:dyDescent="0.25">
      <c r="B358" s="509"/>
      <c r="C358" s="15" t="s">
        <v>779</v>
      </c>
      <c r="D358" s="15" t="s">
        <v>780</v>
      </c>
      <c r="E358" s="107">
        <f t="shared" si="24"/>
        <v>332</v>
      </c>
      <c r="F358" s="14" t="str">
        <f t="shared" si="23"/>
        <v>Tidak Ada</v>
      </c>
      <c r="G358" s="14" t="s">
        <v>45</v>
      </c>
      <c r="H358" s="2" t="s">
        <v>64</v>
      </c>
      <c r="K358" s="385" t="s">
        <v>776</v>
      </c>
    </row>
    <row r="359" spans="2:11" x14ac:dyDescent="0.25">
      <c r="B359" s="510"/>
      <c r="C359" s="15" t="s">
        <v>781</v>
      </c>
      <c r="D359" s="15" t="s">
        <v>782</v>
      </c>
      <c r="E359" s="107">
        <f t="shared" si="24"/>
        <v>333</v>
      </c>
      <c r="F359" s="14" t="str">
        <f t="shared" si="23"/>
        <v>TIDAK ADA</v>
      </c>
      <c r="G359" s="14" t="s">
        <v>33</v>
      </c>
      <c r="H359" s="2" t="s">
        <v>307</v>
      </c>
    </row>
    <row r="360" spans="2:11" x14ac:dyDescent="0.25">
      <c r="B360" s="521">
        <f>B354+1</f>
        <v>240</v>
      </c>
      <c r="C360" s="45" t="s">
        <v>783</v>
      </c>
      <c r="D360" s="15" t="s">
        <v>784</v>
      </c>
      <c r="E360" s="107">
        <f t="shared" si="24"/>
        <v>334</v>
      </c>
      <c r="F360" s="14" t="str">
        <f t="shared" si="23"/>
        <v>Tidak Ada</v>
      </c>
      <c r="G360" s="14" t="s">
        <v>45</v>
      </c>
      <c r="H360" s="2" t="s">
        <v>64</v>
      </c>
    </row>
    <row r="361" spans="2:11" x14ac:dyDescent="0.25">
      <c r="B361" s="509"/>
      <c r="C361" s="15" t="s">
        <v>785</v>
      </c>
      <c r="D361" s="15" t="s">
        <v>786</v>
      </c>
      <c r="E361" s="107">
        <f t="shared" si="24"/>
        <v>335</v>
      </c>
      <c r="F361" s="14">
        <f t="shared" si="23"/>
        <v>0</v>
      </c>
      <c r="G361" s="14" t="s">
        <v>230</v>
      </c>
      <c r="H361" s="2">
        <v>0</v>
      </c>
      <c r="J361" s="174" t="s">
        <v>571</v>
      </c>
      <c r="K361" s="385" t="s">
        <v>787</v>
      </c>
    </row>
    <row r="362" spans="2:11" x14ac:dyDescent="0.25">
      <c r="B362" s="509"/>
      <c r="C362" s="15" t="s">
        <v>788</v>
      </c>
      <c r="D362" s="15" t="s">
        <v>618</v>
      </c>
      <c r="E362" s="107">
        <f t="shared" si="24"/>
        <v>336</v>
      </c>
      <c r="F362" s="14">
        <f t="shared" si="23"/>
        <v>0</v>
      </c>
      <c r="G362" s="14" t="s">
        <v>204</v>
      </c>
      <c r="H362" s="2">
        <v>0</v>
      </c>
      <c r="J362" s="174" t="s">
        <v>619</v>
      </c>
      <c r="K362" s="385" t="s">
        <v>787</v>
      </c>
    </row>
    <row r="363" spans="2:11" x14ac:dyDescent="0.25">
      <c r="B363" s="509"/>
      <c r="C363" s="15" t="s">
        <v>789</v>
      </c>
      <c r="D363" s="15" t="s">
        <v>621</v>
      </c>
      <c r="E363" s="107">
        <f t="shared" si="24"/>
        <v>337</v>
      </c>
      <c r="F363" s="14">
        <f t="shared" si="23"/>
        <v>0</v>
      </c>
      <c r="G363" s="14" t="s">
        <v>204</v>
      </c>
      <c r="H363" s="2">
        <v>0</v>
      </c>
      <c r="J363" s="174" t="s">
        <v>619</v>
      </c>
      <c r="K363" s="385" t="s">
        <v>787</v>
      </c>
    </row>
    <row r="364" spans="2:11" x14ac:dyDescent="0.25">
      <c r="B364" s="509"/>
      <c r="C364" s="15" t="s">
        <v>790</v>
      </c>
      <c r="D364" s="15" t="s">
        <v>791</v>
      </c>
      <c r="E364" s="107">
        <f t="shared" si="24"/>
        <v>338</v>
      </c>
      <c r="F364" s="14" t="str">
        <f t="shared" si="23"/>
        <v>Tidak Ada</v>
      </c>
      <c r="G364" s="14" t="s">
        <v>45</v>
      </c>
      <c r="H364" s="2" t="s">
        <v>64</v>
      </c>
      <c r="K364" s="385" t="s">
        <v>787</v>
      </c>
    </row>
    <row r="365" spans="2:11" x14ac:dyDescent="0.25">
      <c r="B365" s="510"/>
      <c r="C365" s="15" t="s">
        <v>792</v>
      </c>
      <c r="D365" s="15" t="s">
        <v>793</v>
      </c>
      <c r="E365" s="107">
        <f t="shared" si="24"/>
        <v>339</v>
      </c>
      <c r="F365" s="14" t="str">
        <f t="shared" si="23"/>
        <v>TIDAK ADA</v>
      </c>
      <c r="G365" s="14" t="s">
        <v>33</v>
      </c>
      <c r="H365" s="2" t="s">
        <v>307</v>
      </c>
    </row>
    <row r="366" spans="2:11" x14ac:dyDescent="0.25">
      <c r="B366" s="521">
        <f>B360+1</f>
        <v>241</v>
      </c>
      <c r="C366" s="45" t="s">
        <v>794</v>
      </c>
      <c r="D366" s="15" t="s">
        <v>795</v>
      </c>
      <c r="E366" s="107">
        <f t="shared" si="24"/>
        <v>340</v>
      </c>
      <c r="F366" s="14" t="str">
        <f t="shared" si="23"/>
        <v>Tidak Ada</v>
      </c>
      <c r="G366" s="14" t="s">
        <v>45</v>
      </c>
      <c r="H366" s="2" t="s">
        <v>64</v>
      </c>
    </row>
    <row r="367" spans="2:11" x14ac:dyDescent="0.25">
      <c r="B367" s="509"/>
      <c r="C367" s="15" t="s">
        <v>796</v>
      </c>
      <c r="D367" s="15" t="s">
        <v>797</v>
      </c>
      <c r="E367" s="107">
        <f t="shared" si="24"/>
        <v>341</v>
      </c>
      <c r="F367" s="14">
        <f t="shared" si="23"/>
        <v>0</v>
      </c>
      <c r="G367" s="14" t="s">
        <v>230</v>
      </c>
      <c r="H367" s="2">
        <v>0</v>
      </c>
      <c r="J367" s="174" t="s">
        <v>571</v>
      </c>
      <c r="K367" s="385" t="s">
        <v>798</v>
      </c>
    </row>
    <row r="368" spans="2:11" x14ac:dyDescent="0.25">
      <c r="B368" s="509"/>
      <c r="C368" s="15" t="s">
        <v>799</v>
      </c>
      <c r="D368" s="15" t="s">
        <v>618</v>
      </c>
      <c r="E368" s="107">
        <f t="shared" si="24"/>
        <v>342</v>
      </c>
      <c r="F368" s="14">
        <f t="shared" si="23"/>
        <v>0</v>
      </c>
      <c r="G368" s="14" t="s">
        <v>204</v>
      </c>
      <c r="H368" s="2">
        <v>0</v>
      </c>
      <c r="J368" s="174" t="s">
        <v>619</v>
      </c>
      <c r="K368" s="385" t="s">
        <v>798</v>
      </c>
    </row>
    <row r="369" spans="2:11" x14ac:dyDescent="0.25">
      <c r="B369" s="509"/>
      <c r="C369" s="15" t="s">
        <v>800</v>
      </c>
      <c r="D369" s="15" t="s">
        <v>621</v>
      </c>
      <c r="E369" s="107">
        <f t="shared" si="24"/>
        <v>343</v>
      </c>
      <c r="F369" s="14">
        <f t="shared" si="23"/>
        <v>0</v>
      </c>
      <c r="G369" s="14" t="s">
        <v>204</v>
      </c>
      <c r="H369" s="2">
        <v>0</v>
      </c>
      <c r="J369" s="174" t="s">
        <v>619</v>
      </c>
      <c r="K369" s="385" t="s">
        <v>798</v>
      </c>
    </row>
    <row r="370" spans="2:11" x14ac:dyDescent="0.25">
      <c r="B370" s="509"/>
      <c r="C370" s="15" t="s">
        <v>801</v>
      </c>
      <c r="D370" s="15" t="s">
        <v>802</v>
      </c>
      <c r="E370" s="107">
        <f t="shared" si="24"/>
        <v>344</v>
      </c>
      <c r="F370" s="14" t="str">
        <f t="shared" si="23"/>
        <v>Tidak Ada</v>
      </c>
      <c r="G370" s="14" t="s">
        <v>45</v>
      </c>
      <c r="H370" s="2" t="s">
        <v>64</v>
      </c>
      <c r="K370" s="385" t="s">
        <v>798</v>
      </c>
    </row>
    <row r="371" spans="2:11" x14ac:dyDescent="0.25">
      <c r="B371" s="510"/>
      <c r="C371" s="15" t="s">
        <v>803</v>
      </c>
      <c r="D371" s="15" t="s">
        <v>804</v>
      </c>
      <c r="E371" s="107">
        <f t="shared" si="24"/>
        <v>345</v>
      </c>
      <c r="F371" s="14" t="str">
        <f t="shared" si="23"/>
        <v>TIDAK ADA</v>
      </c>
      <c r="G371" s="14" t="s">
        <v>33</v>
      </c>
      <c r="H371" s="2" t="s">
        <v>307</v>
      </c>
    </row>
    <row r="372" spans="2:11" x14ac:dyDescent="0.25">
      <c r="B372" s="521">
        <f>B366+1</f>
        <v>242</v>
      </c>
      <c r="C372" s="45" t="s">
        <v>805</v>
      </c>
      <c r="D372" s="15" t="s">
        <v>806</v>
      </c>
      <c r="E372" s="107">
        <f t="shared" si="24"/>
        <v>346</v>
      </c>
      <c r="F372" s="14" t="str">
        <f t="shared" si="23"/>
        <v>Tidak Ada</v>
      </c>
      <c r="G372" s="14" t="s">
        <v>45</v>
      </c>
      <c r="H372" s="2" t="s">
        <v>64</v>
      </c>
    </row>
    <row r="373" spans="2:11" x14ac:dyDescent="0.25">
      <c r="B373" s="509"/>
      <c r="C373" s="15" t="s">
        <v>807</v>
      </c>
      <c r="D373" s="15" t="s">
        <v>808</v>
      </c>
      <c r="E373" s="107">
        <f t="shared" si="24"/>
        <v>347</v>
      </c>
      <c r="F373" s="14">
        <f t="shared" si="23"/>
        <v>0</v>
      </c>
      <c r="G373" s="14" t="s">
        <v>230</v>
      </c>
      <c r="H373" s="2">
        <v>0</v>
      </c>
      <c r="J373" s="174" t="s">
        <v>571</v>
      </c>
      <c r="K373" s="385" t="s">
        <v>809</v>
      </c>
    </row>
    <row r="374" spans="2:11" x14ac:dyDescent="0.25">
      <c r="B374" s="509"/>
      <c r="C374" s="15" t="s">
        <v>810</v>
      </c>
      <c r="D374" s="15" t="s">
        <v>618</v>
      </c>
      <c r="E374" s="107">
        <f t="shared" si="24"/>
        <v>348</v>
      </c>
      <c r="F374" s="14">
        <f t="shared" ref="F374:F390" si="25">H374</f>
        <v>0</v>
      </c>
      <c r="G374" s="14" t="s">
        <v>204</v>
      </c>
      <c r="H374" s="2">
        <v>0</v>
      </c>
      <c r="J374" s="174" t="s">
        <v>619</v>
      </c>
      <c r="K374" s="385" t="s">
        <v>809</v>
      </c>
    </row>
    <row r="375" spans="2:11" x14ac:dyDescent="0.25">
      <c r="B375" s="509"/>
      <c r="C375" s="15" t="s">
        <v>811</v>
      </c>
      <c r="D375" s="15" t="s">
        <v>621</v>
      </c>
      <c r="E375" s="107">
        <f t="shared" si="24"/>
        <v>349</v>
      </c>
      <c r="F375" s="14">
        <f t="shared" si="25"/>
        <v>0</v>
      </c>
      <c r="G375" s="14" t="s">
        <v>204</v>
      </c>
      <c r="H375" s="2">
        <v>0</v>
      </c>
      <c r="J375" s="174" t="s">
        <v>619</v>
      </c>
      <c r="K375" s="385" t="s">
        <v>809</v>
      </c>
    </row>
    <row r="376" spans="2:11" x14ac:dyDescent="0.25">
      <c r="B376" s="509"/>
      <c r="C376" s="15" t="s">
        <v>812</v>
      </c>
      <c r="D376" s="15" t="s">
        <v>813</v>
      </c>
      <c r="E376" s="107">
        <f t="shared" si="24"/>
        <v>350</v>
      </c>
      <c r="F376" s="14" t="str">
        <f t="shared" si="25"/>
        <v>Tidak Ada</v>
      </c>
      <c r="G376" s="14" t="s">
        <v>45</v>
      </c>
      <c r="H376" s="2" t="s">
        <v>64</v>
      </c>
      <c r="K376" s="385" t="s">
        <v>809</v>
      </c>
    </row>
    <row r="377" spans="2:11" x14ac:dyDescent="0.25">
      <c r="B377" s="510"/>
      <c r="C377" s="15" t="s">
        <v>814</v>
      </c>
      <c r="D377" s="15" t="s">
        <v>815</v>
      </c>
      <c r="E377" s="107">
        <f t="shared" si="24"/>
        <v>351</v>
      </c>
      <c r="F377" s="14" t="str">
        <f t="shared" si="25"/>
        <v>TIDAK ADA</v>
      </c>
      <c r="G377" s="14" t="s">
        <v>33</v>
      </c>
      <c r="H377" s="2" t="s">
        <v>307</v>
      </c>
    </row>
    <row r="378" spans="2:11" x14ac:dyDescent="0.25">
      <c r="B378" s="521">
        <f>B372+1</f>
        <v>243</v>
      </c>
      <c r="C378" s="45" t="s">
        <v>816</v>
      </c>
      <c r="D378" s="15" t="s">
        <v>817</v>
      </c>
      <c r="E378" s="107">
        <f t="shared" si="24"/>
        <v>352</v>
      </c>
      <c r="F378" s="14" t="str">
        <f t="shared" si="25"/>
        <v>Tidak Ada</v>
      </c>
      <c r="G378" s="14" t="s">
        <v>45</v>
      </c>
      <c r="H378" s="2" t="s">
        <v>64</v>
      </c>
    </row>
    <row r="379" spans="2:11" x14ac:dyDescent="0.25">
      <c r="B379" s="509"/>
      <c r="C379" s="15" t="s">
        <v>818</v>
      </c>
      <c r="D379" s="15" t="s">
        <v>819</v>
      </c>
      <c r="E379" s="107">
        <f t="shared" si="24"/>
        <v>353</v>
      </c>
      <c r="F379" s="14">
        <f t="shared" si="25"/>
        <v>0</v>
      </c>
      <c r="G379" s="14" t="s">
        <v>230</v>
      </c>
      <c r="H379" s="2">
        <v>0</v>
      </c>
      <c r="J379" s="174" t="s">
        <v>571</v>
      </c>
      <c r="K379" s="385" t="s">
        <v>820</v>
      </c>
    </row>
    <row r="380" spans="2:11" x14ac:dyDescent="0.25">
      <c r="B380" s="509"/>
      <c r="C380" s="15" t="s">
        <v>821</v>
      </c>
      <c r="D380" s="15" t="s">
        <v>618</v>
      </c>
      <c r="E380" s="107">
        <f t="shared" si="24"/>
        <v>354</v>
      </c>
      <c r="F380" s="14">
        <f t="shared" si="25"/>
        <v>0</v>
      </c>
      <c r="G380" s="14" t="s">
        <v>204</v>
      </c>
      <c r="H380" s="2">
        <v>0</v>
      </c>
      <c r="J380" s="174" t="s">
        <v>619</v>
      </c>
      <c r="K380" s="385" t="s">
        <v>820</v>
      </c>
    </row>
    <row r="381" spans="2:11" x14ac:dyDescent="0.25">
      <c r="B381" s="509"/>
      <c r="C381" s="15" t="s">
        <v>822</v>
      </c>
      <c r="D381" s="15" t="s">
        <v>621</v>
      </c>
      <c r="E381" s="107">
        <f t="shared" si="24"/>
        <v>355</v>
      </c>
      <c r="F381" s="14">
        <f t="shared" si="25"/>
        <v>0</v>
      </c>
      <c r="G381" s="14" t="s">
        <v>204</v>
      </c>
      <c r="H381" s="2">
        <v>0</v>
      </c>
      <c r="J381" s="174" t="s">
        <v>619</v>
      </c>
      <c r="K381" s="385" t="s">
        <v>820</v>
      </c>
    </row>
    <row r="382" spans="2:11" x14ac:dyDescent="0.25">
      <c r="B382" s="509"/>
      <c r="C382" s="15" t="s">
        <v>823</v>
      </c>
      <c r="D382" s="15" t="s">
        <v>824</v>
      </c>
      <c r="E382" s="107">
        <f t="shared" si="24"/>
        <v>356</v>
      </c>
      <c r="F382" s="14" t="str">
        <f t="shared" si="25"/>
        <v>Tidak Ada</v>
      </c>
      <c r="G382" s="14" t="s">
        <v>45</v>
      </c>
      <c r="H382" s="2" t="s">
        <v>64</v>
      </c>
      <c r="K382" s="385" t="s">
        <v>820</v>
      </c>
    </row>
    <row r="383" spans="2:11" x14ac:dyDescent="0.25">
      <c r="B383" s="510"/>
      <c r="C383" s="15" t="s">
        <v>825</v>
      </c>
      <c r="D383" s="15" t="s">
        <v>826</v>
      </c>
      <c r="E383" s="107">
        <f t="shared" si="24"/>
        <v>357</v>
      </c>
      <c r="F383" s="14" t="str">
        <f t="shared" si="25"/>
        <v>TIDAK ADA</v>
      </c>
      <c r="G383" s="14" t="s">
        <v>33</v>
      </c>
      <c r="H383" s="2" t="s">
        <v>307</v>
      </c>
    </row>
    <row r="384" spans="2:11" x14ac:dyDescent="0.25">
      <c r="B384" s="521">
        <f>B378+1</f>
        <v>244</v>
      </c>
      <c r="C384" s="45" t="s">
        <v>827</v>
      </c>
      <c r="D384" s="15" t="s">
        <v>828</v>
      </c>
      <c r="E384" s="107">
        <f t="shared" si="24"/>
        <v>358</v>
      </c>
      <c r="F384" s="14" t="str">
        <f t="shared" si="25"/>
        <v>Tidak Ada</v>
      </c>
      <c r="G384" s="14" t="s">
        <v>45</v>
      </c>
      <c r="H384" s="2" t="s">
        <v>64</v>
      </c>
    </row>
    <row r="385" spans="2:11" x14ac:dyDescent="0.25">
      <c r="B385" s="509"/>
      <c r="C385" s="15" t="s">
        <v>829</v>
      </c>
      <c r="D385" s="15" t="s">
        <v>830</v>
      </c>
      <c r="E385" s="107">
        <f t="shared" si="24"/>
        <v>359</v>
      </c>
      <c r="F385" s="14" t="str">
        <f t="shared" si="25"/>
        <v>TIDAK ADA</v>
      </c>
      <c r="G385" s="14" t="s">
        <v>33</v>
      </c>
      <c r="H385" s="2" t="s">
        <v>307</v>
      </c>
    </row>
    <row r="386" spans="2:11" x14ac:dyDescent="0.25">
      <c r="B386" s="509"/>
      <c r="C386" s="15" t="s">
        <v>831</v>
      </c>
      <c r="D386" s="15" t="s">
        <v>832</v>
      </c>
      <c r="E386" s="107">
        <f t="shared" si="24"/>
        <v>360</v>
      </c>
      <c r="F386" s="14">
        <f t="shared" si="25"/>
        <v>0</v>
      </c>
      <c r="G386" s="14" t="s">
        <v>230</v>
      </c>
      <c r="H386" s="2">
        <v>0</v>
      </c>
      <c r="J386" s="174" t="s">
        <v>571</v>
      </c>
      <c r="K386" s="385" t="s">
        <v>833</v>
      </c>
    </row>
    <row r="387" spans="2:11" x14ac:dyDescent="0.25">
      <c r="B387" s="509"/>
      <c r="C387" s="15" t="s">
        <v>676</v>
      </c>
      <c r="D387" s="15" t="s">
        <v>618</v>
      </c>
      <c r="E387" s="107">
        <f t="shared" si="24"/>
        <v>361</v>
      </c>
      <c r="F387" s="14">
        <f t="shared" si="25"/>
        <v>0</v>
      </c>
      <c r="G387" s="14" t="s">
        <v>204</v>
      </c>
      <c r="H387" s="2">
        <v>0</v>
      </c>
      <c r="J387" s="174" t="s">
        <v>619</v>
      </c>
      <c r="K387" s="385" t="s">
        <v>833</v>
      </c>
    </row>
    <row r="388" spans="2:11" x14ac:dyDescent="0.25">
      <c r="B388" s="509"/>
      <c r="C388" s="15" t="s">
        <v>677</v>
      </c>
      <c r="D388" s="15" t="s">
        <v>621</v>
      </c>
      <c r="E388" s="107">
        <f t="shared" si="24"/>
        <v>362</v>
      </c>
      <c r="F388" s="14">
        <f t="shared" si="25"/>
        <v>0</v>
      </c>
      <c r="G388" s="14" t="s">
        <v>204</v>
      </c>
      <c r="H388" s="2">
        <v>0</v>
      </c>
      <c r="J388" s="174" t="s">
        <v>619</v>
      </c>
      <c r="K388" s="385" t="s">
        <v>833</v>
      </c>
    </row>
    <row r="389" spans="2:11" x14ac:dyDescent="0.25">
      <c r="B389" s="509"/>
      <c r="C389" s="15" t="s">
        <v>834</v>
      </c>
      <c r="D389" s="15" t="s">
        <v>835</v>
      </c>
      <c r="E389" s="107">
        <f t="shared" si="24"/>
        <v>363</v>
      </c>
      <c r="F389" s="14" t="str">
        <f t="shared" si="25"/>
        <v>Tidak Ada</v>
      </c>
      <c r="G389" s="14" t="s">
        <v>45</v>
      </c>
      <c r="H389" s="2" t="s">
        <v>64</v>
      </c>
      <c r="K389" s="385" t="s">
        <v>833</v>
      </c>
    </row>
    <row r="390" spans="2:11" x14ac:dyDescent="0.25">
      <c r="B390" s="510"/>
      <c r="C390" s="15" t="s">
        <v>836</v>
      </c>
      <c r="D390" s="15" t="s">
        <v>837</v>
      </c>
      <c r="E390" s="107">
        <f t="shared" si="24"/>
        <v>364</v>
      </c>
      <c r="F390" s="14" t="str">
        <f t="shared" si="25"/>
        <v>TIDAK ADA</v>
      </c>
      <c r="G390" s="14" t="s">
        <v>33</v>
      </c>
      <c r="H390" s="2" t="s">
        <v>307</v>
      </c>
      <c r="J390" s="390" t="s">
        <v>64</v>
      </c>
    </row>
    <row r="391" spans="2:11" x14ac:dyDescent="0.25">
      <c r="B391" s="256"/>
      <c r="C391" s="45" t="s">
        <v>838</v>
      </c>
      <c r="D391" s="15"/>
      <c r="E391" s="133"/>
      <c r="F391" s="14"/>
      <c r="G391" s="14"/>
      <c r="J391" s="390" t="s">
        <v>243</v>
      </c>
    </row>
    <row r="392" spans="2:11" x14ac:dyDescent="0.25">
      <c r="B392" s="509">
        <f>B384+1</f>
        <v>245</v>
      </c>
      <c r="C392" s="15" t="s">
        <v>839</v>
      </c>
      <c r="D392" s="15" t="s">
        <v>840</v>
      </c>
      <c r="E392" s="107">
        <f>E390+1</f>
        <v>365</v>
      </c>
      <c r="F392" s="14" t="str">
        <f>H392</f>
        <v>TIDAK ADA</v>
      </c>
      <c r="G392" s="14" t="s">
        <v>33</v>
      </c>
      <c r="H392" s="2" t="s">
        <v>307</v>
      </c>
      <c r="J392" s="390" t="s">
        <v>250</v>
      </c>
    </row>
    <row r="393" spans="2:11" x14ac:dyDescent="0.25">
      <c r="B393" s="509"/>
      <c r="C393" s="15" t="s">
        <v>841</v>
      </c>
      <c r="D393" s="15" t="s">
        <v>842</v>
      </c>
      <c r="E393" s="107">
        <f>E392+1</f>
        <v>366</v>
      </c>
      <c r="F393" s="14" t="str">
        <f>H393</f>
        <v>TIDAK ADA</v>
      </c>
      <c r="G393" s="14" t="s">
        <v>33</v>
      </c>
      <c r="H393" s="2" t="s">
        <v>307</v>
      </c>
      <c r="J393" s="390" t="s">
        <v>253</v>
      </c>
    </row>
    <row r="394" spans="2:11" x14ac:dyDescent="0.25">
      <c r="B394" s="509"/>
      <c r="C394" s="15" t="s">
        <v>843</v>
      </c>
      <c r="D394" s="15" t="s">
        <v>844</v>
      </c>
      <c r="E394" s="107">
        <f>E393+1</f>
        <v>367</v>
      </c>
      <c r="F394" s="14" t="str">
        <f>H394</f>
        <v>TIDAK ADA</v>
      </c>
      <c r="G394" s="14" t="s">
        <v>33</v>
      </c>
      <c r="H394" s="2" t="s">
        <v>307</v>
      </c>
      <c r="J394" s="429" t="s">
        <v>280</v>
      </c>
    </row>
    <row r="395" spans="2:11" x14ac:dyDescent="0.25">
      <c r="B395" s="509"/>
      <c r="C395" s="15" t="s">
        <v>845</v>
      </c>
      <c r="D395" s="15" t="s">
        <v>846</v>
      </c>
      <c r="E395" s="107">
        <f>E394+1</f>
        <v>368</v>
      </c>
      <c r="F395" s="14" t="str">
        <f>H395</f>
        <v>TIDAK ADA</v>
      </c>
      <c r="G395" s="14" t="s">
        <v>33</v>
      </c>
      <c r="H395" s="2" t="s">
        <v>307</v>
      </c>
      <c r="J395" s="390" t="s">
        <v>610</v>
      </c>
    </row>
    <row r="396" spans="2:11" x14ac:dyDescent="0.25">
      <c r="B396" s="510"/>
      <c r="C396" s="15" t="s">
        <v>847</v>
      </c>
      <c r="D396" s="15" t="s">
        <v>848</v>
      </c>
      <c r="E396" s="107">
        <f>E395+1</f>
        <v>369</v>
      </c>
      <c r="F396" s="14" t="str">
        <f>H396</f>
        <v>TIDAK  ADA</v>
      </c>
      <c r="G396" s="14" t="s">
        <v>33</v>
      </c>
      <c r="H396" s="2" t="s">
        <v>849</v>
      </c>
      <c r="J396" s="390" t="s">
        <v>46</v>
      </c>
    </row>
    <row r="397" spans="2:11" x14ac:dyDescent="0.25">
      <c r="B397" s="255"/>
      <c r="C397" s="45" t="s">
        <v>850</v>
      </c>
      <c r="D397" s="15"/>
      <c r="E397" s="133"/>
      <c r="F397" s="14"/>
      <c r="G397" s="14"/>
      <c r="J397" s="390" t="s">
        <v>851</v>
      </c>
    </row>
    <row r="398" spans="2:11" x14ac:dyDescent="0.25">
      <c r="B398" s="521">
        <f>B392+1</f>
        <v>246</v>
      </c>
      <c r="C398" s="45" t="s">
        <v>852</v>
      </c>
      <c r="D398" s="15" t="s">
        <v>853</v>
      </c>
      <c r="E398" s="107">
        <f>E396+1</f>
        <v>370</v>
      </c>
      <c r="F398" s="14" t="str">
        <f t="shared" ref="F398:F429" si="26">H398</f>
        <v>Tidak Ada</v>
      </c>
      <c r="G398" s="14" t="s">
        <v>45</v>
      </c>
      <c r="H398" s="2" t="s">
        <v>64</v>
      </c>
      <c r="J398" s="390" t="s">
        <v>854</v>
      </c>
    </row>
    <row r="399" spans="2:11" x14ac:dyDescent="0.25">
      <c r="B399" s="509"/>
      <c r="C399" s="15" t="s">
        <v>855</v>
      </c>
      <c r="D399" s="15" t="s">
        <v>856</v>
      </c>
      <c r="E399" s="107">
        <f t="shared" ref="E399:E430" si="27">E398+1</f>
        <v>371</v>
      </c>
      <c r="F399" s="14">
        <f t="shared" si="26"/>
        <v>0</v>
      </c>
      <c r="G399" s="14" t="s">
        <v>230</v>
      </c>
      <c r="H399" s="2">
        <v>0</v>
      </c>
      <c r="J399" s="174" t="s">
        <v>571</v>
      </c>
      <c r="K399" s="385" t="s">
        <v>857</v>
      </c>
    </row>
    <row r="400" spans="2:11" x14ac:dyDescent="0.25">
      <c r="B400" s="509"/>
      <c r="C400" s="15" t="s">
        <v>858</v>
      </c>
      <c r="D400" s="15" t="s">
        <v>859</v>
      </c>
      <c r="E400" s="107">
        <f t="shared" si="27"/>
        <v>372</v>
      </c>
      <c r="F400" s="14" t="str">
        <f t="shared" si="26"/>
        <v>Tidak Ada</v>
      </c>
      <c r="G400" s="14" t="s">
        <v>45</v>
      </c>
      <c r="H400" s="2" t="s">
        <v>64</v>
      </c>
      <c r="K400" s="385" t="s">
        <v>857</v>
      </c>
    </row>
    <row r="401" spans="2:11" x14ac:dyDescent="0.25">
      <c r="B401" s="509"/>
      <c r="C401" s="15" t="s">
        <v>860</v>
      </c>
      <c r="D401" s="15" t="s">
        <v>861</v>
      </c>
      <c r="E401" s="107">
        <f t="shared" si="27"/>
        <v>373</v>
      </c>
      <c r="F401" s="14" t="str">
        <f t="shared" si="26"/>
        <v>TIDAK ADA</v>
      </c>
      <c r="G401" s="14" t="s">
        <v>33</v>
      </c>
      <c r="H401" s="2" t="s">
        <v>307</v>
      </c>
    </row>
    <row r="402" spans="2:11" x14ac:dyDescent="0.25">
      <c r="B402" s="509"/>
      <c r="C402" s="15" t="s">
        <v>862</v>
      </c>
      <c r="D402" s="15" t="s">
        <v>863</v>
      </c>
      <c r="E402" s="107">
        <f t="shared" si="27"/>
        <v>374</v>
      </c>
      <c r="F402" s="14">
        <f t="shared" si="26"/>
        <v>0</v>
      </c>
      <c r="G402" s="14" t="s">
        <v>864</v>
      </c>
      <c r="H402" s="2">
        <v>0</v>
      </c>
      <c r="J402" s="174" t="s">
        <v>865</v>
      </c>
      <c r="K402" s="385" t="s">
        <v>857</v>
      </c>
    </row>
    <row r="403" spans="2:11" x14ac:dyDescent="0.25">
      <c r="B403" s="509"/>
      <c r="C403" s="15" t="s">
        <v>866</v>
      </c>
      <c r="D403" s="15" t="s">
        <v>867</v>
      </c>
      <c r="E403" s="107">
        <f t="shared" si="27"/>
        <v>375</v>
      </c>
      <c r="F403" s="14">
        <f t="shared" si="26"/>
        <v>0</v>
      </c>
      <c r="G403" s="14" t="s">
        <v>204</v>
      </c>
      <c r="H403" s="2">
        <v>0</v>
      </c>
      <c r="J403" s="174" t="s">
        <v>619</v>
      </c>
      <c r="K403" s="385" t="s">
        <v>857</v>
      </c>
    </row>
    <row r="404" spans="2:11" x14ac:dyDescent="0.25">
      <c r="B404" s="509"/>
      <c r="C404" s="15" t="s">
        <v>868</v>
      </c>
      <c r="D404" s="15" t="s">
        <v>869</v>
      </c>
      <c r="E404" s="107">
        <f t="shared" si="27"/>
        <v>376</v>
      </c>
      <c r="F404" s="14">
        <f t="shared" si="26"/>
        <v>0</v>
      </c>
      <c r="G404" s="14" t="s">
        <v>204</v>
      </c>
      <c r="H404" s="2">
        <v>0</v>
      </c>
      <c r="J404" s="174" t="s">
        <v>619</v>
      </c>
      <c r="K404" s="385" t="s">
        <v>857</v>
      </c>
    </row>
    <row r="405" spans="2:11" x14ac:dyDescent="0.25">
      <c r="B405" s="509"/>
      <c r="C405" s="15" t="s">
        <v>870</v>
      </c>
      <c r="D405" s="15" t="s">
        <v>871</v>
      </c>
      <c r="E405" s="107">
        <f t="shared" si="27"/>
        <v>377</v>
      </c>
      <c r="F405" s="14" t="str">
        <f t="shared" si="26"/>
        <v>-</v>
      </c>
      <c r="G405" s="14" t="s">
        <v>45</v>
      </c>
      <c r="H405" s="2" t="s">
        <v>47</v>
      </c>
      <c r="K405" s="385" t="s">
        <v>857</v>
      </c>
    </row>
    <row r="406" spans="2:11" x14ac:dyDescent="0.25">
      <c r="B406" s="510"/>
      <c r="C406" s="15" t="s">
        <v>872</v>
      </c>
      <c r="D406" s="15" t="s">
        <v>873</v>
      </c>
      <c r="E406" s="107">
        <f t="shared" si="27"/>
        <v>378</v>
      </c>
      <c r="F406" s="14" t="str">
        <f t="shared" si="26"/>
        <v>TIDAK ADA</v>
      </c>
      <c r="G406" s="14" t="s">
        <v>33</v>
      </c>
      <c r="H406" s="2" t="s">
        <v>307</v>
      </c>
    </row>
    <row r="407" spans="2:11" x14ac:dyDescent="0.25">
      <c r="B407" s="521">
        <f>B398+1</f>
        <v>247</v>
      </c>
      <c r="C407" s="45" t="s">
        <v>874</v>
      </c>
      <c r="D407" s="15" t="s">
        <v>875</v>
      </c>
      <c r="E407" s="107">
        <f t="shared" si="27"/>
        <v>379</v>
      </c>
      <c r="F407" s="14" t="str">
        <f t="shared" si="26"/>
        <v>Tidak Ada</v>
      </c>
      <c r="G407" s="14" t="s">
        <v>45</v>
      </c>
      <c r="H407" s="2" t="s">
        <v>64</v>
      </c>
    </row>
    <row r="408" spans="2:11" x14ac:dyDescent="0.25">
      <c r="B408" s="509"/>
      <c r="C408" s="15" t="s">
        <v>876</v>
      </c>
      <c r="D408" s="15" t="s">
        <v>877</v>
      </c>
      <c r="E408" s="107">
        <f t="shared" si="27"/>
        <v>380</v>
      </c>
      <c r="F408" s="14">
        <f t="shared" si="26"/>
        <v>0</v>
      </c>
      <c r="G408" s="14" t="s">
        <v>230</v>
      </c>
      <c r="H408" s="2">
        <v>0</v>
      </c>
      <c r="J408" s="174" t="s">
        <v>571</v>
      </c>
      <c r="K408" s="385" t="s">
        <v>878</v>
      </c>
    </row>
    <row r="409" spans="2:11" x14ac:dyDescent="0.25">
      <c r="B409" s="509"/>
      <c r="C409" s="15" t="s">
        <v>879</v>
      </c>
      <c r="D409" s="15" t="s">
        <v>880</v>
      </c>
      <c r="E409" s="107">
        <f t="shared" si="27"/>
        <v>381</v>
      </c>
      <c r="F409" s="14" t="str">
        <f t="shared" si="26"/>
        <v>Tidak Ada</v>
      </c>
      <c r="G409" s="14" t="s">
        <v>45</v>
      </c>
      <c r="H409" s="2" t="s">
        <v>64</v>
      </c>
      <c r="K409" s="385" t="s">
        <v>878</v>
      </c>
    </row>
    <row r="410" spans="2:11" x14ac:dyDescent="0.25">
      <c r="B410" s="509"/>
      <c r="C410" s="15" t="s">
        <v>881</v>
      </c>
      <c r="D410" s="15" t="s">
        <v>882</v>
      </c>
      <c r="E410" s="107">
        <f t="shared" si="27"/>
        <v>382</v>
      </c>
      <c r="F410" s="14" t="str">
        <f t="shared" si="26"/>
        <v>TIDAK ADA</v>
      </c>
      <c r="G410" s="14" t="s">
        <v>33</v>
      </c>
      <c r="H410" s="2" t="s">
        <v>307</v>
      </c>
    </row>
    <row r="411" spans="2:11" x14ac:dyDescent="0.25">
      <c r="B411" s="509"/>
      <c r="C411" s="15" t="s">
        <v>883</v>
      </c>
      <c r="D411" s="15" t="s">
        <v>884</v>
      </c>
      <c r="E411" s="107">
        <f t="shared" si="27"/>
        <v>383</v>
      </c>
      <c r="F411" s="14">
        <f t="shared" si="26"/>
        <v>0</v>
      </c>
      <c r="G411" s="14" t="s">
        <v>864</v>
      </c>
      <c r="H411" s="2">
        <v>0</v>
      </c>
      <c r="J411" s="174" t="s">
        <v>865</v>
      </c>
      <c r="K411" s="385" t="s">
        <v>878</v>
      </c>
    </row>
    <row r="412" spans="2:11" x14ac:dyDescent="0.25">
      <c r="B412" s="509"/>
      <c r="C412" s="15" t="s">
        <v>885</v>
      </c>
      <c r="D412" s="15" t="s">
        <v>886</v>
      </c>
      <c r="E412" s="107">
        <f t="shared" si="27"/>
        <v>384</v>
      </c>
      <c r="F412" s="14">
        <f t="shared" si="26"/>
        <v>0</v>
      </c>
      <c r="G412" s="14" t="s">
        <v>204</v>
      </c>
      <c r="H412" s="2">
        <v>0</v>
      </c>
      <c r="J412" s="174" t="s">
        <v>619</v>
      </c>
      <c r="K412" s="385" t="s">
        <v>878</v>
      </c>
    </row>
    <row r="413" spans="2:11" x14ac:dyDescent="0.25">
      <c r="B413" s="509"/>
      <c r="C413" s="15" t="s">
        <v>887</v>
      </c>
      <c r="D413" s="15" t="s">
        <v>888</v>
      </c>
      <c r="E413" s="107">
        <f t="shared" si="27"/>
        <v>385</v>
      </c>
      <c r="F413" s="14">
        <f t="shared" si="26"/>
        <v>0</v>
      </c>
      <c r="G413" s="14" t="s">
        <v>204</v>
      </c>
      <c r="H413" s="2">
        <v>0</v>
      </c>
      <c r="J413" s="174" t="s">
        <v>619</v>
      </c>
      <c r="K413" s="385" t="s">
        <v>878</v>
      </c>
    </row>
    <row r="414" spans="2:11" ht="31.5" customHeight="1" x14ac:dyDescent="0.25">
      <c r="B414" s="509"/>
      <c r="C414" s="15" t="s">
        <v>889</v>
      </c>
      <c r="D414" s="15" t="s">
        <v>890</v>
      </c>
      <c r="E414" s="107">
        <f t="shared" si="27"/>
        <v>386</v>
      </c>
      <c r="F414" s="14" t="str">
        <f t="shared" si="26"/>
        <v>-</v>
      </c>
      <c r="G414" s="14" t="s">
        <v>45</v>
      </c>
      <c r="H414" s="2" t="s">
        <v>47</v>
      </c>
      <c r="K414" s="385" t="s">
        <v>878</v>
      </c>
    </row>
    <row r="415" spans="2:11" x14ac:dyDescent="0.25">
      <c r="B415" s="510"/>
      <c r="C415" s="15" t="s">
        <v>891</v>
      </c>
      <c r="D415" s="15" t="s">
        <v>892</v>
      </c>
      <c r="E415" s="107">
        <f t="shared" si="27"/>
        <v>387</v>
      </c>
      <c r="F415" s="14" t="str">
        <f t="shared" si="26"/>
        <v>TIDAK ADA</v>
      </c>
      <c r="G415" s="14" t="s">
        <v>33</v>
      </c>
      <c r="H415" s="2" t="s">
        <v>307</v>
      </c>
    </row>
    <row r="416" spans="2:11" x14ac:dyDescent="0.25">
      <c r="B416" s="521">
        <f>B407+1</f>
        <v>248</v>
      </c>
      <c r="C416" s="45" t="s">
        <v>893</v>
      </c>
      <c r="D416" s="15" t="s">
        <v>894</v>
      </c>
      <c r="E416" s="107">
        <f t="shared" si="27"/>
        <v>388</v>
      </c>
      <c r="F416" s="14" t="str">
        <f t="shared" si="26"/>
        <v>Tidak Ada</v>
      </c>
      <c r="G416" s="14" t="s">
        <v>45</v>
      </c>
      <c r="H416" s="2" t="s">
        <v>64</v>
      </c>
    </row>
    <row r="417" spans="2:11" x14ac:dyDescent="0.25">
      <c r="B417" s="509"/>
      <c r="C417" s="15" t="s">
        <v>895</v>
      </c>
      <c r="D417" s="15" t="s">
        <v>896</v>
      </c>
      <c r="E417" s="107">
        <f t="shared" si="27"/>
        <v>389</v>
      </c>
      <c r="F417" s="14">
        <f t="shared" si="26"/>
        <v>0</v>
      </c>
      <c r="G417" s="14" t="s">
        <v>230</v>
      </c>
      <c r="H417" s="2">
        <v>0</v>
      </c>
      <c r="J417" s="174" t="s">
        <v>571</v>
      </c>
      <c r="K417" s="385" t="s">
        <v>897</v>
      </c>
    </row>
    <row r="418" spans="2:11" x14ac:dyDescent="0.25">
      <c r="B418" s="509"/>
      <c r="C418" s="15" t="s">
        <v>898</v>
      </c>
      <c r="D418" s="15" t="s">
        <v>899</v>
      </c>
      <c r="E418" s="107">
        <f t="shared" si="27"/>
        <v>390</v>
      </c>
      <c r="F418" s="14" t="str">
        <f t="shared" si="26"/>
        <v>Tidak Ada</v>
      </c>
      <c r="G418" s="14" t="s">
        <v>45</v>
      </c>
      <c r="H418" s="2" t="s">
        <v>64</v>
      </c>
      <c r="K418" s="385" t="s">
        <v>897</v>
      </c>
    </row>
    <row r="419" spans="2:11" x14ac:dyDescent="0.25">
      <c r="B419" s="509"/>
      <c r="C419" s="15" t="s">
        <v>900</v>
      </c>
      <c r="D419" s="15" t="s">
        <v>901</v>
      </c>
      <c r="E419" s="107">
        <f t="shared" si="27"/>
        <v>391</v>
      </c>
      <c r="F419" s="14" t="str">
        <f t="shared" si="26"/>
        <v>TIDAK ADA</v>
      </c>
      <c r="G419" s="14" t="s">
        <v>33</v>
      </c>
      <c r="H419" s="2" t="s">
        <v>307</v>
      </c>
    </row>
    <row r="420" spans="2:11" x14ac:dyDescent="0.25">
      <c r="B420" s="509"/>
      <c r="C420" s="15" t="s">
        <v>902</v>
      </c>
      <c r="D420" s="15" t="s">
        <v>903</v>
      </c>
      <c r="E420" s="107">
        <f t="shared" si="27"/>
        <v>392</v>
      </c>
      <c r="F420" s="14">
        <f t="shared" si="26"/>
        <v>0</v>
      </c>
      <c r="G420" s="14" t="s">
        <v>864</v>
      </c>
      <c r="H420" s="2">
        <v>0</v>
      </c>
      <c r="J420" s="174" t="s">
        <v>865</v>
      </c>
      <c r="K420" s="385" t="s">
        <v>897</v>
      </c>
    </row>
    <row r="421" spans="2:11" x14ac:dyDescent="0.25">
      <c r="B421" s="509"/>
      <c r="C421" s="15" t="s">
        <v>904</v>
      </c>
      <c r="D421" s="15" t="s">
        <v>905</v>
      </c>
      <c r="E421" s="107">
        <f t="shared" si="27"/>
        <v>393</v>
      </c>
      <c r="F421" s="14">
        <f t="shared" si="26"/>
        <v>0</v>
      </c>
      <c r="G421" s="14" t="s">
        <v>204</v>
      </c>
      <c r="H421" s="2">
        <v>0</v>
      </c>
      <c r="J421" s="174" t="s">
        <v>619</v>
      </c>
      <c r="K421" s="385" t="s">
        <v>897</v>
      </c>
    </row>
    <row r="422" spans="2:11" x14ac:dyDescent="0.25">
      <c r="B422" s="509"/>
      <c r="C422" s="15" t="s">
        <v>906</v>
      </c>
      <c r="D422" s="15" t="s">
        <v>907</v>
      </c>
      <c r="E422" s="107">
        <f t="shared" si="27"/>
        <v>394</v>
      </c>
      <c r="F422" s="14">
        <f t="shared" si="26"/>
        <v>0</v>
      </c>
      <c r="G422" s="14" t="s">
        <v>204</v>
      </c>
      <c r="H422" s="2">
        <v>0</v>
      </c>
      <c r="J422" s="174" t="s">
        <v>619</v>
      </c>
      <c r="K422" s="385" t="s">
        <v>897</v>
      </c>
    </row>
    <row r="423" spans="2:11" ht="31.5" customHeight="1" x14ac:dyDescent="0.25">
      <c r="B423" s="509"/>
      <c r="C423" s="15" t="s">
        <v>908</v>
      </c>
      <c r="D423" s="15" t="s">
        <v>909</v>
      </c>
      <c r="E423" s="107">
        <f t="shared" si="27"/>
        <v>395</v>
      </c>
      <c r="F423" s="14" t="str">
        <f t="shared" si="26"/>
        <v>-</v>
      </c>
      <c r="G423" s="14" t="s">
        <v>45</v>
      </c>
      <c r="H423" s="2" t="s">
        <v>47</v>
      </c>
      <c r="K423" s="385" t="s">
        <v>897</v>
      </c>
    </row>
    <row r="424" spans="2:11" x14ac:dyDescent="0.25">
      <c r="B424" s="510"/>
      <c r="C424" s="15" t="s">
        <v>910</v>
      </c>
      <c r="D424" s="15" t="s">
        <v>911</v>
      </c>
      <c r="E424" s="107">
        <f t="shared" si="27"/>
        <v>396</v>
      </c>
      <c r="F424" s="14" t="str">
        <f t="shared" si="26"/>
        <v>TIDAK ADA</v>
      </c>
      <c r="G424" s="14" t="s">
        <v>33</v>
      </c>
      <c r="H424" s="2" t="s">
        <v>307</v>
      </c>
    </row>
    <row r="425" spans="2:11" x14ac:dyDescent="0.25">
      <c r="B425" s="521">
        <f>B416+1</f>
        <v>249</v>
      </c>
      <c r="C425" s="45" t="s">
        <v>912</v>
      </c>
      <c r="D425" s="15" t="s">
        <v>913</v>
      </c>
      <c r="E425" s="107">
        <f t="shared" si="27"/>
        <v>397</v>
      </c>
      <c r="F425" s="14" t="str">
        <f t="shared" si="26"/>
        <v>Tidak Ada</v>
      </c>
      <c r="G425" s="14" t="s">
        <v>45</v>
      </c>
      <c r="H425" s="2" t="s">
        <v>64</v>
      </c>
    </row>
    <row r="426" spans="2:11" x14ac:dyDescent="0.25">
      <c r="B426" s="509"/>
      <c r="C426" s="15" t="s">
        <v>914</v>
      </c>
      <c r="D426" s="15" t="s">
        <v>915</v>
      </c>
      <c r="E426" s="107">
        <f t="shared" si="27"/>
        <v>398</v>
      </c>
      <c r="F426" s="14">
        <f t="shared" si="26"/>
        <v>0</v>
      </c>
      <c r="G426" s="14" t="s">
        <v>230</v>
      </c>
      <c r="H426" s="2">
        <v>0</v>
      </c>
      <c r="J426" s="174" t="s">
        <v>571</v>
      </c>
      <c r="K426" s="385" t="s">
        <v>916</v>
      </c>
    </row>
    <row r="427" spans="2:11" x14ac:dyDescent="0.25">
      <c r="B427" s="509"/>
      <c r="C427" s="15" t="s">
        <v>917</v>
      </c>
      <c r="D427" s="15" t="s">
        <v>918</v>
      </c>
      <c r="E427" s="107">
        <f t="shared" si="27"/>
        <v>399</v>
      </c>
      <c r="F427" s="14" t="str">
        <f t="shared" si="26"/>
        <v>Tidak Ada</v>
      </c>
      <c r="G427" s="14" t="s">
        <v>45</v>
      </c>
      <c r="H427" s="2" t="s">
        <v>64</v>
      </c>
      <c r="K427" s="385" t="s">
        <v>916</v>
      </c>
    </row>
    <row r="428" spans="2:11" x14ac:dyDescent="0.25">
      <c r="B428" s="509"/>
      <c r="C428" s="15" t="s">
        <v>919</v>
      </c>
      <c r="D428" s="15" t="s">
        <v>920</v>
      </c>
      <c r="E428" s="107">
        <f t="shared" si="27"/>
        <v>400</v>
      </c>
      <c r="F428" s="14" t="str">
        <f t="shared" si="26"/>
        <v>TIDAK ADA</v>
      </c>
      <c r="G428" s="14" t="s">
        <v>33</v>
      </c>
      <c r="H428" s="2" t="s">
        <v>307</v>
      </c>
    </row>
    <row r="429" spans="2:11" x14ac:dyDescent="0.25">
      <c r="B429" s="509"/>
      <c r="C429" s="15" t="s">
        <v>921</v>
      </c>
      <c r="D429" s="15" t="s">
        <v>922</v>
      </c>
      <c r="E429" s="107">
        <f t="shared" si="27"/>
        <v>401</v>
      </c>
      <c r="F429" s="14">
        <f t="shared" si="26"/>
        <v>0</v>
      </c>
      <c r="G429" s="14" t="s">
        <v>864</v>
      </c>
      <c r="H429" s="2">
        <v>0</v>
      </c>
      <c r="J429" s="174" t="s">
        <v>865</v>
      </c>
      <c r="K429" s="385" t="s">
        <v>916</v>
      </c>
    </row>
    <row r="430" spans="2:11" x14ac:dyDescent="0.25">
      <c r="B430" s="509"/>
      <c r="C430" s="15" t="s">
        <v>923</v>
      </c>
      <c r="D430" s="15" t="s">
        <v>924</v>
      </c>
      <c r="E430" s="107">
        <f t="shared" si="27"/>
        <v>402</v>
      </c>
      <c r="F430" s="14">
        <f t="shared" ref="F430:F461" si="28">H430</f>
        <v>0</v>
      </c>
      <c r="G430" s="14" t="s">
        <v>204</v>
      </c>
      <c r="H430" s="2">
        <v>0</v>
      </c>
      <c r="J430" s="174" t="s">
        <v>619</v>
      </c>
      <c r="K430" s="385" t="s">
        <v>916</v>
      </c>
    </row>
    <row r="431" spans="2:11" x14ac:dyDescent="0.25">
      <c r="B431" s="509"/>
      <c r="C431" s="15" t="s">
        <v>925</v>
      </c>
      <c r="D431" s="15" t="s">
        <v>926</v>
      </c>
      <c r="E431" s="107">
        <f t="shared" ref="E431:E462" si="29">E430+1</f>
        <v>403</v>
      </c>
      <c r="F431" s="14">
        <f t="shared" si="28"/>
        <v>0</v>
      </c>
      <c r="G431" s="14" t="s">
        <v>204</v>
      </c>
      <c r="H431" s="2">
        <v>0</v>
      </c>
      <c r="J431" s="174" t="s">
        <v>619</v>
      </c>
      <c r="K431" s="385" t="s">
        <v>916</v>
      </c>
    </row>
    <row r="432" spans="2:11" x14ac:dyDescent="0.25">
      <c r="B432" s="509"/>
      <c r="C432" s="15" t="s">
        <v>927</v>
      </c>
      <c r="D432" s="15" t="s">
        <v>928</v>
      </c>
      <c r="E432" s="107">
        <f t="shared" si="29"/>
        <v>404</v>
      </c>
      <c r="F432" s="14" t="str">
        <f t="shared" si="28"/>
        <v>-</v>
      </c>
      <c r="G432" s="14" t="s">
        <v>45</v>
      </c>
      <c r="H432" s="2" t="s">
        <v>47</v>
      </c>
      <c r="K432" s="385" t="s">
        <v>916</v>
      </c>
    </row>
    <row r="433" spans="2:11" x14ac:dyDescent="0.25">
      <c r="B433" s="510"/>
      <c r="C433" s="15" t="s">
        <v>929</v>
      </c>
      <c r="D433" s="15" t="s">
        <v>930</v>
      </c>
      <c r="E433" s="107">
        <f t="shared" si="29"/>
        <v>405</v>
      </c>
      <c r="F433" s="14" t="str">
        <f t="shared" si="28"/>
        <v>TIDAK ADA</v>
      </c>
      <c r="G433" s="14" t="s">
        <v>33</v>
      </c>
      <c r="H433" s="2" t="s">
        <v>307</v>
      </c>
    </row>
    <row r="434" spans="2:11" x14ac:dyDescent="0.25">
      <c r="B434" s="521">
        <f>B425+1</f>
        <v>250</v>
      </c>
      <c r="C434" s="45" t="s">
        <v>931</v>
      </c>
      <c r="D434" s="15" t="s">
        <v>932</v>
      </c>
      <c r="E434" s="107">
        <f t="shared" si="29"/>
        <v>406</v>
      </c>
      <c r="F434" s="14" t="str">
        <f t="shared" si="28"/>
        <v>Tidak Ada</v>
      </c>
      <c r="G434" s="14" t="s">
        <v>45</v>
      </c>
      <c r="H434" s="2" t="s">
        <v>64</v>
      </c>
    </row>
    <row r="435" spans="2:11" x14ac:dyDescent="0.25">
      <c r="B435" s="509"/>
      <c r="C435" s="15" t="s">
        <v>933</v>
      </c>
      <c r="D435" s="15" t="s">
        <v>934</v>
      </c>
      <c r="E435" s="107">
        <f t="shared" si="29"/>
        <v>407</v>
      </c>
      <c r="F435" s="14">
        <f t="shared" si="28"/>
        <v>0</v>
      </c>
      <c r="G435" s="14" t="s">
        <v>230</v>
      </c>
      <c r="H435" s="2">
        <v>0</v>
      </c>
      <c r="J435" s="174" t="s">
        <v>571</v>
      </c>
      <c r="K435" s="385" t="s">
        <v>935</v>
      </c>
    </row>
    <row r="436" spans="2:11" x14ac:dyDescent="0.25">
      <c r="B436" s="509"/>
      <c r="C436" s="15" t="s">
        <v>936</v>
      </c>
      <c r="D436" s="15" t="s">
        <v>937</v>
      </c>
      <c r="E436" s="107">
        <f t="shared" si="29"/>
        <v>408</v>
      </c>
      <c r="F436" s="14" t="str">
        <f t="shared" si="28"/>
        <v>Tidak Ada</v>
      </c>
      <c r="G436" s="14" t="s">
        <v>45</v>
      </c>
      <c r="H436" s="2" t="s">
        <v>64</v>
      </c>
      <c r="K436" s="385" t="s">
        <v>935</v>
      </c>
    </row>
    <row r="437" spans="2:11" x14ac:dyDescent="0.25">
      <c r="B437" s="509"/>
      <c r="C437" s="15" t="s">
        <v>938</v>
      </c>
      <c r="D437" s="15" t="s">
        <v>939</v>
      </c>
      <c r="E437" s="107">
        <f t="shared" si="29"/>
        <v>409</v>
      </c>
      <c r="F437" s="14" t="str">
        <f t="shared" si="28"/>
        <v>TIDAK ADA</v>
      </c>
      <c r="G437" s="14" t="s">
        <v>33</v>
      </c>
      <c r="H437" s="2" t="s">
        <v>307</v>
      </c>
    </row>
    <row r="438" spans="2:11" x14ac:dyDescent="0.25">
      <c r="B438" s="509"/>
      <c r="C438" s="15" t="s">
        <v>940</v>
      </c>
      <c r="D438" s="15" t="s">
        <v>941</v>
      </c>
      <c r="E438" s="107">
        <f t="shared" si="29"/>
        <v>410</v>
      </c>
      <c r="F438" s="14">
        <f t="shared" si="28"/>
        <v>0</v>
      </c>
      <c r="G438" s="14" t="s">
        <v>864</v>
      </c>
      <c r="H438" s="2">
        <v>0</v>
      </c>
      <c r="J438" s="174" t="s">
        <v>865</v>
      </c>
      <c r="K438" s="385" t="s">
        <v>935</v>
      </c>
    </row>
    <row r="439" spans="2:11" x14ac:dyDescent="0.25">
      <c r="B439" s="509"/>
      <c r="C439" s="15" t="s">
        <v>942</v>
      </c>
      <c r="D439" s="15" t="s">
        <v>943</v>
      </c>
      <c r="E439" s="107">
        <f t="shared" si="29"/>
        <v>411</v>
      </c>
      <c r="F439" s="14">
        <f t="shared" si="28"/>
        <v>0</v>
      </c>
      <c r="G439" s="14" t="s">
        <v>204</v>
      </c>
      <c r="H439" s="2">
        <v>0</v>
      </c>
      <c r="J439" s="174" t="s">
        <v>619</v>
      </c>
      <c r="K439" s="385" t="s">
        <v>935</v>
      </c>
    </row>
    <row r="440" spans="2:11" x14ac:dyDescent="0.25">
      <c r="B440" s="509"/>
      <c r="C440" s="15" t="s">
        <v>944</v>
      </c>
      <c r="D440" s="15" t="s">
        <v>945</v>
      </c>
      <c r="E440" s="107">
        <f t="shared" si="29"/>
        <v>412</v>
      </c>
      <c r="F440" s="14">
        <f t="shared" si="28"/>
        <v>0</v>
      </c>
      <c r="G440" s="14" t="s">
        <v>204</v>
      </c>
      <c r="H440" s="2">
        <v>0</v>
      </c>
      <c r="J440" s="174" t="s">
        <v>619</v>
      </c>
      <c r="K440" s="385" t="s">
        <v>935</v>
      </c>
    </row>
    <row r="441" spans="2:11" x14ac:dyDescent="0.25">
      <c r="B441" s="509"/>
      <c r="C441" s="15" t="s">
        <v>946</v>
      </c>
      <c r="D441" s="15" t="s">
        <v>947</v>
      </c>
      <c r="E441" s="107">
        <f t="shared" si="29"/>
        <v>413</v>
      </c>
      <c r="F441" s="14" t="str">
        <f t="shared" si="28"/>
        <v>-</v>
      </c>
      <c r="G441" s="14" t="s">
        <v>45</v>
      </c>
      <c r="H441" s="2" t="s">
        <v>47</v>
      </c>
      <c r="K441" s="385" t="s">
        <v>935</v>
      </c>
    </row>
    <row r="442" spans="2:11" x14ac:dyDescent="0.25">
      <c r="B442" s="510"/>
      <c r="C442" s="15" t="s">
        <v>948</v>
      </c>
      <c r="D442" s="15" t="s">
        <v>949</v>
      </c>
      <c r="E442" s="107">
        <f t="shared" si="29"/>
        <v>414</v>
      </c>
      <c r="F442" s="14" t="str">
        <f t="shared" si="28"/>
        <v>TIDAK ADA</v>
      </c>
      <c r="G442" s="14" t="s">
        <v>33</v>
      </c>
      <c r="H442" s="2" t="s">
        <v>307</v>
      </c>
    </row>
    <row r="443" spans="2:11" x14ac:dyDescent="0.25">
      <c r="B443" s="521">
        <f>B434+1</f>
        <v>251</v>
      </c>
      <c r="C443" s="45" t="s">
        <v>950</v>
      </c>
      <c r="D443" s="15" t="s">
        <v>951</v>
      </c>
      <c r="E443" s="107">
        <f t="shared" si="29"/>
        <v>415</v>
      </c>
      <c r="F443" s="14" t="str">
        <f t="shared" si="28"/>
        <v>Tidak Ada</v>
      </c>
      <c r="G443" s="14" t="s">
        <v>45</v>
      </c>
      <c r="H443" s="2" t="s">
        <v>64</v>
      </c>
    </row>
    <row r="444" spans="2:11" x14ac:dyDescent="0.25">
      <c r="B444" s="509"/>
      <c r="C444" s="15" t="s">
        <v>952</v>
      </c>
      <c r="D444" s="15" t="s">
        <v>953</v>
      </c>
      <c r="E444" s="107">
        <f t="shared" si="29"/>
        <v>416</v>
      </c>
      <c r="F444" s="14">
        <f t="shared" si="28"/>
        <v>0</v>
      </c>
      <c r="G444" s="14" t="s">
        <v>230</v>
      </c>
      <c r="H444" s="2">
        <v>0</v>
      </c>
      <c r="J444" s="174" t="s">
        <v>571</v>
      </c>
      <c r="K444" s="385" t="s">
        <v>954</v>
      </c>
    </row>
    <row r="445" spans="2:11" x14ac:dyDescent="0.25">
      <c r="B445" s="509"/>
      <c r="C445" s="15" t="s">
        <v>955</v>
      </c>
      <c r="D445" s="15" t="s">
        <v>956</v>
      </c>
      <c r="E445" s="107">
        <f t="shared" si="29"/>
        <v>417</v>
      </c>
      <c r="F445" s="14" t="str">
        <f t="shared" si="28"/>
        <v>Tidak Ada</v>
      </c>
      <c r="G445" s="14" t="s">
        <v>45</v>
      </c>
      <c r="H445" s="2" t="s">
        <v>64</v>
      </c>
      <c r="K445" s="385" t="s">
        <v>954</v>
      </c>
    </row>
    <row r="446" spans="2:11" x14ac:dyDescent="0.25">
      <c r="B446" s="509"/>
      <c r="C446" s="15" t="s">
        <v>957</v>
      </c>
      <c r="D446" s="15" t="s">
        <v>958</v>
      </c>
      <c r="E446" s="107">
        <f t="shared" si="29"/>
        <v>418</v>
      </c>
      <c r="F446" s="14" t="str">
        <f t="shared" si="28"/>
        <v>TIDAK ADA</v>
      </c>
      <c r="G446" s="14" t="s">
        <v>33</v>
      </c>
      <c r="H446" s="2" t="s">
        <v>307</v>
      </c>
    </row>
    <row r="447" spans="2:11" x14ac:dyDescent="0.25">
      <c r="B447" s="509"/>
      <c r="C447" s="15" t="s">
        <v>959</v>
      </c>
      <c r="D447" s="15" t="s">
        <v>960</v>
      </c>
      <c r="E447" s="107">
        <f t="shared" si="29"/>
        <v>419</v>
      </c>
      <c r="F447" s="14">
        <f t="shared" si="28"/>
        <v>0</v>
      </c>
      <c r="G447" s="14" t="s">
        <v>864</v>
      </c>
      <c r="H447" s="2">
        <v>0</v>
      </c>
      <c r="J447" s="174" t="s">
        <v>865</v>
      </c>
      <c r="K447" s="385" t="s">
        <v>954</v>
      </c>
    </row>
    <row r="448" spans="2:11" x14ac:dyDescent="0.25">
      <c r="B448" s="509"/>
      <c r="C448" s="15" t="s">
        <v>961</v>
      </c>
      <c r="D448" s="15" t="s">
        <v>962</v>
      </c>
      <c r="E448" s="107">
        <f t="shared" si="29"/>
        <v>420</v>
      </c>
      <c r="F448" s="14">
        <f t="shared" si="28"/>
        <v>0</v>
      </c>
      <c r="G448" s="14" t="s">
        <v>204</v>
      </c>
      <c r="H448" s="2">
        <v>0</v>
      </c>
      <c r="J448" s="174" t="s">
        <v>619</v>
      </c>
      <c r="K448" s="385" t="s">
        <v>954</v>
      </c>
    </row>
    <row r="449" spans="2:11" x14ac:dyDescent="0.25">
      <c r="B449" s="509"/>
      <c r="C449" s="15" t="s">
        <v>963</v>
      </c>
      <c r="D449" s="15" t="s">
        <v>964</v>
      </c>
      <c r="E449" s="107">
        <f t="shared" si="29"/>
        <v>421</v>
      </c>
      <c r="F449" s="14">
        <f t="shared" si="28"/>
        <v>0</v>
      </c>
      <c r="G449" s="14" t="s">
        <v>204</v>
      </c>
      <c r="H449" s="2">
        <v>0</v>
      </c>
      <c r="J449" s="174" t="s">
        <v>619</v>
      </c>
      <c r="K449" s="385" t="s">
        <v>954</v>
      </c>
    </row>
    <row r="450" spans="2:11" x14ac:dyDescent="0.25">
      <c r="B450" s="509"/>
      <c r="C450" s="15" t="s">
        <v>965</v>
      </c>
      <c r="D450" s="15" t="s">
        <v>966</v>
      </c>
      <c r="E450" s="107">
        <f t="shared" si="29"/>
        <v>422</v>
      </c>
      <c r="F450" s="14" t="str">
        <f t="shared" si="28"/>
        <v>-</v>
      </c>
      <c r="G450" s="14" t="s">
        <v>45</v>
      </c>
      <c r="H450" s="2" t="s">
        <v>47</v>
      </c>
      <c r="K450" s="385" t="s">
        <v>954</v>
      </c>
    </row>
    <row r="451" spans="2:11" x14ac:dyDescent="0.25">
      <c r="B451" s="510"/>
      <c r="C451" s="15" t="s">
        <v>967</v>
      </c>
      <c r="D451" s="15" t="s">
        <v>968</v>
      </c>
      <c r="E451" s="107">
        <f t="shared" si="29"/>
        <v>423</v>
      </c>
      <c r="F451" s="14" t="str">
        <f t="shared" si="28"/>
        <v>TIDAK ADA</v>
      </c>
      <c r="G451" s="14" t="s">
        <v>33</v>
      </c>
      <c r="H451" s="2" t="s">
        <v>307</v>
      </c>
    </row>
    <row r="452" spans="2:11" x14ac:dyDescent="0.25">
      <c r="B452" s="521">
        <f>B443+1</f>
        <v>252</v>
      </c>
      <c r="C452" s="45" t="s">
        <v>969</v>
      </c>
      <c r="D452" s="15" t="s">
        <v>970</v>
      </c>
      <c r="E452" s="107">
        <f t="shared" si="29"/>
        <v>424</v>
      </c>
      <c r="F452" s="14" t="str">
        <f t="shared" si="28"/>
        <v>Tidak Ada</v>
      </c>
      <c r="G452" s="14" t="s">
        <v>45</v>
      </c>
      <c r="H452" s="2" t="s">
        <v>64</v>
      </c>
    </row>
    <row r="453" spans="2:11" x14ac:dyDescent="0.25">
      <c r="B453" s="509"/>
      <c r="C453" s="15" t="s">
        <v>971</v>
      </c>
      <c r="D453" s="15" t="s">
        <v>972</v>
      </c>
      <c r="E453" s="107">
        <f t="shared" si="29"/>
        <v>425</v>
      </c>
      <c r="F453" s="14">
        <f t="shared" si="28"/>
        <v>0</v>
      </c>
      <c r="G453" s="14" t="s">
        <v>230</v>
      </c>
      <c r="H453" s="2">
        <v>0</v>
      </c>
      <c r="J453" s="174" t="s">
        <v>571</v>
      </c>
      <c r="K453" s="385" t="s">
        <v>973</v>
      </c>
    </row>
    <row r="454" spans="2:11" x14ac:dyDescent="0.25">
      <c r="B454" s="509"/>
      <c r="C454" s="15" t="s">
        <v>974</v>
      </c>
      <c r="D454" s="15" t="s">
        <v>975</v>
      </c>
      <c r="E454" s="107">
        <f t="shared" si="29"/>
        <v>426</v>
      </c>
      <c r="F454" s="14" t="str">
        <f t="shared" si="28"/>
        <v>Tidak Ada</v>
      </c>
      <c r="G454" s="14" t="s">
        <v>45</v>
      </c>
      <c r="H454" s="2" t="s">
        <v>64</v>
      </c>
      <c r="K454" s="385" t="s">
        <v>973</v>
      </c>
    </row>
    <row r="455" spans="2:11" x14ac:dyDescent="0.25">
      <c r="B455" s="509"/>
      <c r="C455" s="15" t="s">
        <v>976</v>
      </c>
      <c r="D455" s="15" t="s">
        <v>977</v>
      </c>
      <c r="E455" s="107">
        <f t="shared" si="29"/>
        <v>427</v>
      </c>
      <c r="F455" s="14" t="str">
        <f t="shared" si="28"/>
        <v>TIDAK ADA</v>
      </c>
      <c r="G455" s="14" t="s">
        <v>33</v>
      </c>
      <c r="H455" s="2" t="s">
        <v>307</v>
      </c>
    </row>
    <row r="456" spans="2:11" x14ac:dyDescent="0.25">
      <c r="B456" s="509"/>
      <c r="C456" s="15" t="s">
        <v>978</v>
      </c>
      <c r="D456" s="15" t="s">
        <v>979</v>
      </c>
      <c r="E456" s="107">
        <f t="shared" si="29"/>
        <v>428</v>
      </c>
      <c r="F456" s="14">
        <f t="shared" si="28"/>
        <v>0</v>
      </c>
      <c r="G456" s="14" t="s">
        <v>864</v>
      </c>
      <c r="H456" s="2">
        <v>0</v>
      </c>
      <c r="J456" s="174" t="s">
        <v>865</v>
      </c>
      <c r="K456" s="385" t="s">
        <v>973</v>
      </c>
    </row>
    <row r="457" spans="2:11" x14ac:dyDescent="0.25">
      <c r="B457" s="509"/>
      <c r="C457" s="15" t="s">
        <v>980</v>
      </c>
      <c r="D457" s="15" t="s">
        <v>981</v>
      </c>
      <c r="E457" s="107">
        <f t="shared" si="29"/>
        <v>429</v>
      </c>
      <c r="F457" s="14">
        <f t="shared" si="28"/>
        <v>0</v>
      </c>
      <c r="G457" s="14" t="s">
        <v>204</v>
      </c>
      <c r="H457" s="2">
        <v>0</v>
      </c>
      <c r="J457" s="174" t="s">
        <v>619</v>
      </c>
      <c r="K457" s="385" t="s">
        <v>973</v>
      </c>
    </row>
    <row r="458" spans="2:11" x14ac:dyDescent="0.25">
      <c r="B458" s="509"/>
      <c r="C458" s="15" t="s">
        <v>982</v>
      </c>
      <c r="D458" s="15" t="s">
        <v>983</v>
      </c>
      <c r="E458" s="107">
        <f t="shared" si="29"/>
        <v>430</v>
      </c>
      <c r="F458" s="14">
        <f t="shared" si="28"/>
        <v>0</v>
      </c>
      <c r="G458" s="14" t="s">
        <v>204</v>
      </c>
      <c r="H458" s="2">
        <v>0</v>
      </c>
      <c r="J458" s="174" t="s">
        <v>619</v>
      </c>
      <c r="K458" s="385" t="s">
        <v>973</v>
      </c>
    </row>
    <row r="459" spans="2:11" x14ac:dyDescent="0.25">
      <c r="B459" s="509"/>
      <c r="C459" s="15" t="s">
        <v>984</v>
      </c>
      <c r="D459" s="15" t="s">
        <v>985</v>
      </c>
      <c r="E459" s="107">
        <f t="shared" si="29"/>
        <v>431</v>
      </c>
      <c r="F459" s="14" t="str">
        <f t="shared" si="28"/>
        <v>-</v>
      </c>
      <c r="G459" s="14" t="s">
        <v>45</v>
      </c>
      <c r="H459" s="2" t="s">
        <v>47</v>
      </c>
      <c r="K459" s="385" t="s">
        <v>973</v>
      </c>
    </row>
    <row r="460" spans="2:11" x14ac:dyDescent="0.25">
      <c r="B460" s="510"/>
      <c r="C460" s="15" t="s">
        <v>986</v>
      </c>
      <c r="D460" s="15" t="s">
        <v>987</v>
      </c>
      <c r="E460" s="107">
        <f t="shared" si="29"/>
        <v>432</v>
      </c>
      <c r="F460" s="14" t="str">
        <f t="shared" si="28"/>
        <v>TIDAK ADA</v>
      </c>
      <c r="G460" s="14" t="s">
        <v>33</v>
      </c>
      <c r="H460" s="2" t="s">
        <v>307</v>
      </c>
    </row>
    <row r="461" spans="2:11" x14ac:dyDescent="0.25">
      <c r="B461" s="521">
        <f>B452+1</f>
        <v>253</v>
      </c>
      <c r="C461" s="45" t="s">
        <v>988</v>
      </c>
      <c r="D461" s="15" t="s">
        <v>989</v>
      </c>
      <c r="E461" s="107">
        <f t="shared" si="29"/>
        <v>433</v>
      </c>
      <c r="F461" s="14" t="str">
        <f t="shared" si="28"/>
        <v>Tidak Ada</v>
      </c>
      <c r="G461" s="14" t="s">
        <v>45</v>
      </c>
      <c r="H461" s="2" t="s">
        <v>64</v>
      </c>
    </row>
    <row r="462" spans="2:11" x14ac:dyDescent="0.25">
      <c r="B462" s="509"/>
      <c r="C462" s="15" t="s">
        <v>990</v>
      </c>
      <c r="D462" s="15" t="s">
        <v>991</v>
      </c>
      <c r="E462" s="107">
        <f t="shared" si="29"/>
        <v>434</v>
      </c>
      <c r="F462" s="14">
        <f t="shared" ref="F462:F479" si="30">H462</f>
        <v>0</v>
      </c>
      <c r="G462" s="14" t="s">
        <v>230</v>
      </c>
      <c r="H462" s="2">
        <v>0</v>
      </c>
      <c r="J462" s="174" t="s">
        <v>571</v>
      </c>
      <c r="K462" s="385" t="s">
        <v>992</v>
      </c>
    </row>
    <row r="463" spans="2:11" x14ac:dyDescent="0.25">
      <c r="B463" s="509"/>
      <c r="C463" s="15" t="s">
        <v>993</v>
      </c>
      <c r="D463" s="15" t="s">
        <v>994</v>
      </c>
      <c r="E463" s="107">
        <f t="shared" ref="E463:E479" si="31">E462+1</f>
        <v>435</v>
      </c>
      <c r="F463" s="14" t="str">
        <f t="shared" si="30"/>
        <v>Tidak Ada</v>
      </c>
      <c r="G463" s="14" t="s">
        <v>45</v>
      </c>
      <c r="H463" s="2" t="s">
        <v>64</v>
      </c>
      <c r="K463" s="385" t="s">
        <v>992</v>
      </c>
    </row>
    <row r="464" spans="2:11" x14ac:dyDescent="0.25">
      <c r="B464" s="509"/>
      <c r="C464" s="15" t="s">
        <v>995</v>
      </c>
      <c r="D464" s="15" t="s">
        <v>996</v>
      </c>
      <c r="E464" s="107">
        <f t="shared" si="31"/>
        <v>436</v>
      </c>
      <c r="F464" s="14" t="str">
        <f t="shared" si="30"/>
        <v>TIDAK ADA</v>
      </c>
      <c r="G464" s="14" t="s">
        <v>33</v>
      </c>
      <c r="H464" s="2" t="s">
        <v>307</v>
      </c>
    </row>
    <row r="465" spans="2:11" x14ac:dyDescent="0.25">
      <c r="B465" s="509"/>
      <c r="C465" s="15" t="s">
        <v>997</v>
      </c>
      <c r="D465" s="15" t="s">
        <v>998</v>
      </c>
      <c r="E465" s="107">
        <f t="shared" si="31"/>
        <v>437</v>
      </c>
      <c r="F465" s="14">
        <f t="shared" si="30"/>
        <v>0</v>
      </c>
      <c r="G465" s="14" t="s">
        <v>864</v>
      </c>
      <c r="H465" s="2">
        <v>0</v>
      </c>
      <c r="J465" s="174" t="s">
        <v>865</v>
      </c>
      <c r="K465" s="385" t="s">
        <v>992</v>
      </c>
    </row>
    <row r="466" spans="2:11" x14ac:dyDescent="0.25">
      <c r="B466" s="509"/>
      <c r="C466" s="15" t="s">
        <v>999</v>
      </c>
      <c r="D466" s="15" t="s">
        <v>1000</v>
      </c>
      <c r="E466" s="107">
        <f t="shared" si="31"/>
        <v>438</v>
      </c>
      <c r="F466" s="14">
        <f t="shared" si="30"/>
        <v>0</v>
      </c>
      <c r="G466" s="14" t="s">
        <v>204</v>
      </c>
      <c r="H466" s="2">
        <v>0</v>
      </c>
      <c r="J466" s="174" t="s">
        <v>619</v>
      </c>
      <c r="K466" s="385" t="s">
        <v>992</v>
      </c>
    </row>
    <row r="467" spans="2:11" x14ac:dyDescent="0.25">
      <c r="B467" s="509"/>
      <c r="C467" s="15" t="s">
        <v>1001</v>
      </c>
      <c r="D467" s="15" t="s">
        <v>1002</v>
      </c>
      <c r="E467" s="107">
        <f t="shared" si="31"/>
        <v>439</v>
      </c>
      <c r="F467" s="14">
        <f t="shared" si="30"/>
        <v>0</v>
      </c>
      <c r="G467" s="14" t="s">
        <v>204</v>
      </c>
      <c r="H467" s="2">
        <v>0</v>
      </c>
      <c r="J467" s="174" t="s">
        <v>619</v>
      </c>
      <c r="K467" s="385" t="s">
        <v>992</v>
      </c>
    </row>
    <row r="468" spans="2:11" x14ac:dyDescent="0.25">
      <c r="B468" s="509"/>
      <c r="C468" s="15" t="s">
        <v>1003</v>
      </c>
      <c r="D468" s="15" t="s">
        <v>1004</v>
      </c>
      <c r="E468" s="107">
        <f t="shared" si="31"/>
        <v>440</v>
      </c>
      <c r="F468" s="14" t="str">
        <f t="shared" si="30"/>
        <v>-</v>
      </c>
      <c r="G468" s="14" t="s">
        <v>45</v>
      </c>
      <c r="H468" s="2" t="s">
        <v>47</v>
      </c>
      <c r="K468" s="385" t="s">
        <v>992</v>
      </c>
    </row>
    <row r="469" spans="2:11" x14ac:dyDescent="0.25">
      <c r="B469" s="510"/>
      <c r="C469" s="15" t="s">
        <v>1005</v>
      </c>
      <c r="D469" s="15" t="s">
        <v>1006</v>
      </c>
      <c r="E469" s="107">
        <f t="shared" si="31"/>
        <v>441</v>
      </c>
      <c r="F469" s="14" t="str">
        <f t="shared" si="30"/>
        <v>TIDAK ADAA</v>
      </c>
      <c r="G469" s="14" t="s">
        <v>33</v>
      </c>
      <c r="H469" s="2" t="s">
        <v>1007</v>
      </c>
    </row>
    <row r="470" spans="2:11" x14ac:dyDescent="0.25">
      <c r="B470" s="521">
        <f>B461+1</f>
        <v>254</v>
      </c>
      <c r="C470" s="45" t="s">
        <v>1008</v>
      </c>
      <c r="D470" s="15" t="s">
        <v>1009</v>
      </c>
      <c r="E470" s="107">
        <f t="shared" si="31"/>
        <v>442</v>
      </c>
      <c r="F470" s="14" t="str">
        <f t="shared" si="30"/>
        <v>Tidak Ada</v>
      </c>
      <c r="G470" s="14" t="s">
        <v>45</v>
      </c>
      <c r="H470" s="2" t="s">
        <v>64</v>
      </c>
    </row>
    <row r="471" spans="2:11" x14ac:dyDescent="0.25">
      <c r="B471" s="509"/>
      <c r="C471" s="15" t="s">
        <v>1010</v>
      </c>
      <c r="D471" s="15" t="s">
        <v>1011</v>
      </c>
      <c r="E471" s="107">
        <f t="shared" si="31"/>
        <v>443</v>
      </c>
      <c r="F471" s="14" t="str">
        <f t="shared" si="30"/>
        <v>TIDAK ADA</v>
      </c>
      <c r="G471" s="14" t="s">
        <v>33</v>
      </c>
      <c r="H471" s="2" t="s">
        <v>307</v>
      </c>
    </row>
    <row r="472" spans="2:11" x14ac:dyDescent="0.25">
      <c r="B472" s="509"/>
      <c r="C472" s="15" t="s">
        <v>1012</v>
      </c>
      <c r="D472" s="15" t="s">
        <v>1013</v>
      </c>
      <c r="E472" s="107">
        <f t="shared" si="31"/>
        <v>444</v>
      </c>
      <c r="F472" s="14">
        <f t="shared" si="30"/>
        <v>0</v>
      </c>
      <c r="G472" s="14" t="s">
        <v>230</v>
      </c>
      <c r="H472" s="2">
        <v>0</v>
      </c>
      <c r="J472" s="174" t="s">
        <v>571</v>
      </c>
      <c r="K472" s="385" t="s">
        <v>1014</v>
      </c>
    </row>
    <row r="473" spans="2:11" x14ac:dyDescent="0.25">
      <c r="B473" s="509"/>
      <c r="C473" s="15" t="s">
        <v>1015</v>
      </c>
      <c r="D473" s="15" t="s">
        <v>1016</v>
      </c>
      <c r="E473" s="107">
        <f t="shared" si="31"/>
        <v>445</v>
      </c>
      <c r="F473" s="14" t="str">
        <f t="shared" si="30"/>
        <v>Tidak Ada</v>
      </c>
      <c r="G473" s="14" t="s">
        <v>45</v>
      </c>
      <c r="H473" s="2" t="s">
        <v>64</v>
      </c>
      <c r="K473" s="385" t="s">
        <v>1014</v>
      </c>
    </row>
    <row r="474" spans="2:11" x14ac:dyDescent="0.25">
      <c r="B474" s="509"/>
      <c r="C474" s="15" t="s">
        <v>1017</v>
      </c>
      <c r="D474" s="15" t="s">
        <v>1018</v>
      </c>
      <c r="E474" s="107">
        <f t="shared" si="31"/>
        <v>446</v>
      </c>
      <c r="F474" s="14" t="str">
        <f t="shared" si="30"/>
        <v>TIDAK ADA</v>
      </c>
      <c r="G474" s="14" t="s">
        <v>33</v>
      </c>
      <c r="H474" s="2" t="s">
        <v>307</v>
      </c>
    </row>
    <row r="475" spans="2:11" x14ac:dyDescent="0.25">
      <c r="B475" s="509"/>
      <c r="C475" s="15" t="s">
        <v>1019</v>
      </c>
      <c r="D475" s="15" t="s">
        <v>1020</v>
      </c>
      <c r="E475" s="107">
        <f t="shared" si="31"/>
        <v>447</v>
      </c>
      <c r="F475" s="14">
        <f t="shared" si="30"/>
        <v>0</v>
      </c>
      <c r="G475" s="14" t="s">
        <v>864</v>
      </c>
      <c r="H475" s="2">
        <v>0</v>
      </c>
      <c r="J475" s="174" t="s">
        <v>865</v>
      </c>
      <c r="K475" s="385" t="s">
        <v>1014</v>
      </c>
    </row>
    <row r="476" spans="2:11" x14ac:dyDescent="0.25">
      <c r="B476" s="509"/>
      <c r="C476" s="15" t="s">
        <v>1021</v>
      </c>
      <c r="D476" s="15" t="s">
        <v>1022</v>
      </c>
      <c r="E476" s="107">
        <f t="shared" si="31"/>
        <v>448</v>
      </c>
      <c r="F476" s="14">
        <f t="shared" si="30"/>
        <v>0</v>
      </c>
      <c r="G476" s="14" t="s">
        <v>204</v>
      </c>
      <c r="H476" s="2">
        <v>0</v>
      </c>
      <c r="J476" s="174" t="s">
        <v>619</v>
      </c>
      <c r="K476" s="385" t="s">
        <v>1014</v>
      </c>
    </row>
    <row r="477" spans="2:11" x14ac:dyDescent="0.25">
      <c r="B477" s="509"/>
      <c r="C477" s="15" t="s">
        <v>1023</v>
      </c>
      <c r="D477" s="15" t="s">
        <v>1024</v>
      </c>
      <c r="E477" s="107">
        <f t="shared" si="31"/>
        <v>449</v>
      </c>
      <c r="F477" s="14">
        <f t="shared" si="30"/>
        <v>0</v>
      </c>
      <c r="G477" s="14" t="s">
        <v>204</v>
      </c>
      <c r="H477" s="2">
        <v>0</v>
      </c>
      <c r="J477" s="174" t="s">
        <v>619</v>
      </c>
      <c r="K477" s="385" t="s">
        <v>1014</v>
      </c>
    </row>
    <row r="478" spans="2:11" x14ac:dyDescent="0.25">
      <c r="B478" s="509"/>
      <c r="C478" s="15" t="s">
        <v>1025</v>
      </c>
      <c r="D478" s="15" t="s">
        <v>1026</v>
      </c>
      <c r="E478" s="107">
        <f t="shared" si="31"/>
        <v>450</v>
      </c>
      <c r="F478" s="14" t="str">
        <f t="shared" si="30"/>
        <v>-</v>
      </c>
      <c r="G478" s="14" t="s">
        <v>45</v>
      </c>
      <c r="H478" s="2" t="s">
        <v>47</v>
      </c>
      <c r="K478" s="385" t="s">
        <v>1014</v>
      </c>
    </row>
    <row r="479" spans="2:11" x14ac:dyDescent="0.25">
      <c r="B479" s="510"/>
      <c r="C479" s="15" t="s">
        <v>1027</v>
      </c>
      <c r="D479" s="15" t="s">
        <v>1028</v>
      </c>
      <c r="E479" s="107">
        <f t="shared" si="31"/>
        <v>451</v>
      </c>
      <c r="F479" s="14" t="str">
        <f t="shared" si="30"/>
        <v>TIDAK ADA</v>
      </c>
      <c r="G479" s="14" t="s">
        <v>33</v>
      </c>
      <c r="H479" s="2" t="s">
        <v>307</v>
      </c>
    </row>
    <row r="480" spans="2:11" x14ac:dyDescent="0.25">
      <c r="B480" s="255"/>
      <c r="C480" s="45" t="s">
        <v>1029</v>
      </c>
      <c r="D480" s="15"/>
      <c r="E480" s="133"/>
      <c r="F480" s="14"/>
      <c r="G480" s="14"/>
    </row>
    <row r="481" spans="2:11" x14ac:dyDescent="0.25">
      <c r="B481" s="521">
        <f>B470+1</f>
        <v>255</v>
      </c>
      <c r="C481" s="15" t="s">
        <v>1030</v>
      </c>
      <c r="D481" s="15" t="s">
        <v>1031</v>
      </c>
      <c r="E481" s="107">
        <f>E479+1</f>
        <v>452</v>
      </c>
      <c r="F481" s="14" t="str">
        <f t="shared" ref="F481:F490" si="32">H481</f>
        <v>Iya</v>
      </c>
      <c r="G481" s="14" t="s">
        <v>45</v>
      </c>
      <c r="H481" s="2" t="s">
        <v>1032</v>
      </c>
    </row>
    <row r="482" spans="2:11" x14ac:dyDescent="0.25">
      <c r="B482" s="510"/>
      <c r="C482" s="15" t="s">
        <v>1033</v>
      </c>
      <c r="D482" s="15" t="s">
        <v>1034</v>
      </c>
      <c r="E482" s="107">
        <f t="shared" ref="E482:E490" si="33">E481+1</f>
        <v>453</v>
      </c>
      <c r="F482" s="14">
        <f t="shared" si="32"/>
        <v>12</v>
      </c>
      <c r="G482" s="14" t="s">
        <v>1035</v>
      </c>
      <c r="H482" s="100">
        <v>12</v>
      </c>
      <c r="J482" s="174" t="s">
        <v>1036</v>
      </c>
      <c r="K482" s="385" t="s">
        <v>1037</v>
      </c>
    </row>
    <row r="483" spans="2:11" x14ac:dyDescent="0.25">
      <c r="B483" s="521">
        <f>B481+1</f>
        <v>256</v>
      </c>
      <c r="C483" s="15" t="s">
        <v>1038</v>
      </c>
      <c r="D483" s="15" t="s">
        <v>1039</v>
      </c>
      <c r="E483" s="107">
        <f t="shared" si="33"/>
        <v>454</v>
      </c>
      <c r="F483" s="14" t="str">
        <f t="shared" si="32"/>
        <v>Tidak Ada</v>
      </c>
      <c r="G483" s="14" t="s">
        <v>45</v>
      </c>
      <c r="H483" s="2" t="s">
        <v>64</v>
      </c>
    </row>
    <row r="484" spans="2:11" x14ac:dyDescent="0.25">
      <c r="B484" s="510"/>
      <c r="C484" s="15" t="s">
        <v>1040</v>
      </c>
      <c r="D484" s="15" t="s">
        <v>1041</v>
      </c>
      <c r="E484" s="107">
        <f t="shared" si="33"/>
        <v>455</v>
      </c>
      <c r="F484" s="14">
        <f t="shared" si="32"/>
        <v>0</v>
      </c>
      <c r="G484" s="14" t="s">
        <v>230</v>
      </c>
      <c r="H484" s="2">
        <v>0</v>
      </c>
      <c r="J484" s="174" t="s">
        <v>571</v>
      </c>
      <c r="K484" s="385" t="s">
        <v>1042</v>
      </c>
    </row>
    <row r="485" spans="2:11" x14ac:dyDescent="0.25">
      <c r="B485" s="521">
        <f>B483+1</f>
        <v>257</v>
      </c>
      <c r="C485" s="15" t="s">
        <v>1043</v>
      </c>
      <c r="D485" s="15" t="s">
        <v>1044</v>
      </c>
      <c r="E485" s="107">
        <f t="shared" si="33"/>
        <v>456</v>
      </c>
      <c r="F485" s="14">
        <f t="shared" si="32"/>
        <v>249</v>
      </c>
      <c r="G485" s="14" t="s">
        <v>204</v>
      </c>
      <c r="H485" s="100">
        <v>249</v>
      </c>
      <c r="J485" s="174" t="s">
        <v>1045</v>
      </c>
    </row>
    <row r="486" spans="2:11" x14ac:dyDescent="0.25">
      <c r="B486" s="509"/>
      <c r="C486" s="15" t="s">
        <v>1046</v>
      </c>
      <c r="D486" s="15" t="s">
        <v>1047</v>
      </c>
      <c r="E486" s="107">
        <f t="shared" si="33"/>
        <v>457</v>
      </c>
      <c r="F486" s="14">
        <f t="shared" si="32"/>
        <v>192</v>
      </c>
      <c r="G486" s="14" t="s">
        <v>1048</v>
      </c>
      <c r="H486" s="100">
        <v>192</v>
      </c>
      <c r="J486" s="174" t="s">
        <v>865</v>
      </c>
    </row>
    <row r="487" spans="2:11" x14ac:dyDescent="0.25">
      <c r="B487" s="509"/>
      <c r="C487" s="15" t="s">
        <v>1049</v>
      </c>
      <c r="D487" s="15" t="s">
        <v>1050</v>
      </c>
      <c r="E487" s="107">
        <f t="shared" si="33"/>
        <v>458</v>
      </c>
      <c r="F487" s="14">
        <f t="shared" si="32"/>
        <v>5</v>
      </c>
      <c r="G487" s="14" t="s">
        <v>1048</v>
      </c>
      <c r="H487" s="100">
        <v>5</v>
      </c>
      <c r="J487" s="174" t="s">
        <v>865</v>
      </c>
    </row>
    <row r="488" spans="2:11" x14ac:dyDescent="0.25">
      <c r="B488" s="509"/>
      <c r="C488" s="15" t="s">
        <v>1051</v>
      </c>
      <c r="D488" s="15" t="s">
        <v>1052</v>
      </c>
      <c r="E488" s="107">
        <f t="shared" si="33"/>
        <v>459</v>
      </c>
      <c r="F488" s="14">
        <f t="shared" si="32"/>
        <v>14</v>
      </c>
      <c r="G488" s="14" t="s">
        <v>1048</v>
      </c>
      <c r="H488" s="100">
        <v>14</v>
      </c>
      <c r="J488" s="174" t="s">
        <v>865</v>
      </c>
    </row>
    <row r="489" spans="2:11" x14ac:dyDescent="0.25">
      <c r="B489" s="509"/>
      <c r="C489" s="15" t="s">
        <v>1053</v>
      </c>
      <c r="D489" s="15" t="s">
        <v>1054</v>
      </c>
      <c r="E489" s="107">
        <f t="shared" si="33"/>
        <v>460</v>
      </c>
      <c r="F489" s="14">
        <f t="shared" si="32"/>
        <v>0</v>
      </c>
      <c r="G489" s="14" t="s">
        <v>33</v>
      </c>
      <c r="H489" s="2">
        <v>0</v>
      </c>
    </row>
    <row r="490" spans="2:11" x14ac:dyDescent="0.25">
      <c r="B490" s="510"/>
      <c r="C490" s="15" t="s">
        <v>1055</v>
      </c>
      <c r="D490" s="15" t="s">
        <v>1056</v>
      </c>
      <c r="E490" s="107">
        <f t="shared" si="33"/>
        <v>461</v>
      </c>
      <c r="F490" s="14">
        <f t="shared" si="32"/>
        <v>0</v>
      </c>
      <c r="G490" s="14" t="s">
        <v>1048</v>
      </c>
      <c r="H490" s="100">
        <v>0</v>
      </c>
      <c r="J490" s="174" t="s">
        <v>865</v>
      </c>
    </row>
    <row r="491" spans="2:11" ht="21" customHeight="1" x14ac:dyDescent="0.25">
      <c r="B491" s="115"/>
      <c r="C491" s="93" t="s">
        <v>1057</v>
      </c>
      <c r="D491" s="94"/>
      <c r="E491" s="133"/>
      <c r="F491" s="14"/>
      <c r="G491" s="134"/>
    </row>
    <row r="492" spans="2:11" x14ac:dyDescent="0.25">
      <c r="B492" s="116"/>
      <c r="C492" s="43" t="s">
        <v>1058</v>
      </c>
      <c r="D492" s="44"/>
      <c r="E492" s="133"/>
      <c r="F492" s="14"/>
      <c r="G492" s="14"/>
    </row>
    <row r="493" spans="2:11" x14ac:dyDescent="0.25">
      <c r="B493" s="117">
        <f>B485+1</f>
        <v>258</v>
      </c>
      <c r="C493" s="184" t="s">
        <v>1059</v>
      </c>
      <c r="D493" s="184" t="s">
        <v>1060</v>
      </c>
      <c r="E493" s="185">
        <f>E490+1</f>
        <v>462</v>
      </c>
      <c r="F493" s="183">
        <f>H493</f>
        <v>4183</v>
      </c>
      <c r="G493" s="183" t="s">
        <v>1061</v>
      </c>
      <c r="H493" s="189">
        <f>H494+H495</f>
        <v>4183</v>
      </c>
      <c r="I493" s="187" t="s">
        <v>1062</v>
      </c>
      <c r="J493" s="174" t="s">
        <v>1063</v>
      </c>
    </row>
    <row r="494" spans="2:11" x14ac:dyDescent="0.25">
      <c r="B494" s="266">
        <f>B493+1</f>
        <v>259</v>
      </c>
      <c r="C494" s="15" t="s">
        <v>1064</v>
      </c>
      <c r="D494" s="15" t="s">
        <v>1065</v>
      </c>
      <c r="E494" s="107">
        <f>E493+1</f>
        <v>463</v>
      </c>
      <c r="F494" s="14">
        <f>H494</f>
        <v>2025</v>
      </c>
      <c r="G494" s="14" t="s">
        <v>1061</v>
      </c>
      <c r="H494" s="4">
        <v>2025</v>
      </c>
      <c r="J494" s="174" t="s">
        <v>1066</v>
      </c>
    </row>
    <row r="495" spans="2:11" x14ac:dyDescent="0.25">
      <c r="B495" s="266">
        <f>1+B494</f>
        <v>260</v>
      </c>
      <c r="C495" s="15" t="s">
        <v>1067</v>
      </c>
      <c r="D495" s="15" t="s">
        <v>1068</v>
      </c>
      <c r="E495" s="107">
        <f>E494+1</f>
        <v>464</v>
      </c>
      <c r="F495" s="14">
        <f>H495</f>
        <v>2158</v>
      </c>
      <c r="G495" s="14" t="s">
        <v>1061</v>
      </c>
      <c r="H495" s="4">
        <v>2158</v>
      </c>
      <c r="J495" s="174" t="s">
        <v>1066</v>
      </c>
    </row>
    <row r="496" spans="2:11" x14ac:dyDescent="0.25">
      <c r="B496" s="266">
        <f>1+B495</f>
        <v>261</v>
      </c>
      <c r="C496" s="15" t="s">
        <v>1069</v>
      </c>
      <c r="D496" s="15" t="s">
        <v>1070</v>
      </c>
      <c r="E496" s="107">
        <f>E495+1</f>
        <v>465</v>
      </c>
      <c r="F496" s="14">
        <f>H496</f>
        <v>32</v>
      </c>
      <c r="G496" s="14" t="s">
        <v>1061</v>
      </c>
      <c r="H496" s="100">
        <v>32</v>
      </c>
      <c r="J496" s="174" t="s">
        <v>1036</v>
      </c>
    </row>
    <row r="497" spans="2:13" x14ac:dyDescent="0.25">
      <c r="B497" s="266">
        <f>1+B496</f>
        <v>262</v>
      </c>
      <c r="C497" s="15" t="s">
        <v>1071</v>
      </c>
      <c r="D497" s="15" t="s">
        <v>1072</v>
      </c>
      <c r="E497" s="107">
        <f>E496+1</f>
        <v>466</v>
      </c>
      <c r="F497" s="14">
        <f>H497</f>
        <v>30</v>
      </c>
      <c r="G497" s="14" t="s">
        <v>1061</v>
      </c>
      <c r="H497" s="100">
        <v>30</v>
      </c>
      <c r="J497" s="174" t="s">
        <v>1036</v>
      </c>
    </row>
    <row r="498" spans="2:13" x14ac:dyDescent="0.25">
      <c r="B498" s="266"/>
      <c r="C498" s="45" t="s">
        <v>1073</v>
      </c>
      <c r="D498" s="15"/>
      <c r="E498" s="105"/>
      <c r="F498" s="14"/>
      <c r="G498" s="14"/>
    </row>
    <row r="499" spans="2:13" ht="36" customHeight="1" x14ac:dyDescent="0.25">
      <c r="B499" s="266">
        <f>B497+1</f>
        <v>263</v>
      </c>
      <c r="C499" s="15" t="s">
        <v>1074</v>
      </c>
      <c r="D499" s="15" t="s">
        <v>1075</v>
      </c>
      <c r="E499" s="107">
        <f>E497+1</f>
        <v>467</v>
      </c>
      <c r="F499" s="14">
        <f>H499</f>
        <v>1350</v>
      </c>
      <c r="G499" s="14" t="s">
        <v>1076</v>
      </c>
      <c r="H499" s="100">
        <v>1350</v>
      </c>
      <c r="I499" s="471" t="s">
        <v>1077</v>
      </c>
      <c r="J499" s="176" t="s">
        <v>1078</v>
      </c>
      <c r="K499" s="397"/>
    </row>
    <row r="500" spans="2:13" x14ac:dyDescent="0.25">
      <c r="B500" s="266">
        <f>1+B499</f>
        <v>264</v>
      </c>
      <c r="C500" s="15" t="s">
        <v>1079</v>
      </c>
      <c r="D500" s="15" t="s">
        <v>1080</v>
      </c>
      <c r="E500" s="107">
        <f>E499+1</f>
        <v>468</v>
      </c>
      <c r="F500" s="14">
        <f>H500</f>
        <v>388</v>
      </c>
      <c r="G500" s="14" t="s">
        <v>1076</v>
      </c>
      <c r="H500" s="100">
        <v>388</v>
      </c>
      <c r="J500" s="174" t="s">
        <v>1081</v>
      </c>
    </row>
    <row r="501" spans="2:13" x14ac:dyDescent="0.25">
      <c r="B501" s="266">
        <f>1+B500</f>
        <v>265</v>
      </c>
      <c r="C501" s="15" t="s">
        <v>1082</v>
      </c>
      <c r="D501" s="15" t="s">
        <v>1083</v>
      </c>
      <c r="E501" s="107">
        <f>E500+1</f>
        <v>469</v>
      </c>
      <c r="F501" s="14">
        <f>H501</f>
        <v>473</v>
      </c>
      <c r="G501" s="14" t="s">
        <v>1076</v>
      </c>
      <c r="H501" s="100">
        <v>473</v>
      </c>
      <c r="J501" s="174" t="s">
        <v>1081</v>
      </c>
    </row>
    <row r="502" spans="2:13" x14ac:dyDescent="0.25">
      <c r="B502" s="266"/>
      <c r="C502" s="41" t="s">
        <v>1084</v>
      </c>
      <c r="D502" s="42"/>
      <c r="E502" s="105"/>
      <c r="F502" s="14"/>
      <c r="G502" s="14"/>
    </row>
    <row r="503" spans="2:13" x14ac:dyDescent="0.25">
      <c r="B503" s="521">
        <f>1+B501</f>
        <v>266</v>
      </c>
      <c r="C503" s="15" t="s">
        <v>1085</v>
      </c>
      <c r="D503" s="15" t="s">
        <v>1086</v>
      </c>
      <c r="E503" s="107">
        <f>E501+1</f>
        <v>470</v>
      </c>
      <c r="F503" s="14">
        <f t="shared" ref="F503:F509" si="34">H503</f>
        <v>117</v>
      </c>
      <c r="G503" s="14" t="s">
        <v>1061</v>
      </c>
      <c r="H503" s="100">
        <v>117</v>
      </c>
      <c r="J503" s="176" t="s">
        <v>1087</v>
      </c>
      <c r="M503" s="254"/>
    </row>
    <row r="504" spans="2:13" x14ac:dyDescent="0.25">
      <c r="B504" s="509"/>
      <c r="C504" s="15" t="s">
        <v>1088</v>
      </c>
      <c r="D504" s="15" t="s">
        <v>1089</v>
      </c>
      <c r="E504" s="107">
        <f t="shared" ref="E504:E509" si="35">E503+1</f>
        <v>471</v>
      </c>
      <c r="F504" s="14">
        <f t="shared" si="34"/>
        <v>177</v>
      </c>
      <c r="G504" s="14" t="s">
        <v>1061</v>
      </c>
      <c r="H504" s="100">
        <v>177</v>
      </c>
      <c r="J504" s="176" t="s">
        <v>1087</v>
      </c>
      <c r="M504" s="254"/>
    </row>
    <row r="505" spans="2:13" x14ac:dyDescent="0.25">
      <c r="B505" s="509"/>
      <c r="C505" s="15" t="s">
        <v>1090</v>
      </c>
      <c r="D505" s="15" t="s">
        <v>1091</v>
      </c>
      <c r="E505" s="107">
        <f t="shared" si="35"/>
        <v>472</v>
      </c>
      <c r="F505" s="14">
        <f t="shared" si="34"/>
        <v>417</v>
      </c>
      <c r="G505" s="14" t="s">
        <v>1061</v>
      </c>
      <c r="H505" s="100">
        <v>417</v>
      </c>
      <c r="J505" s="176" t="s">
        <v>1087</v>
      </c>
      <c r="M505" s="254"/>
    </row>
    <row r="506" spans="2:13" x14ac:dyDescent="0.25">
      <c r="B506" s="509"/>
      <c r="C506" s="15" t="s">
        <v>1092</v>
      </c>
      <c r="D506" s="15" t="s">
        <v>1093</v>
      </c>
      <c r="E506" s="107">
        <f t="shared" si="35"/>
        <v>473</v>
      </c>
      <c r="F506" s="14">
        <f t="shared" si="34"/>
        <v>214</v>
      </c>
      <c r="G506" s="14" t="s">
        <v>1061</v>
      </c>
      <c r="H506" s="100">
        <v>214</v>
      </c>
      <c r="J506" s="176" t="s">
        <v>1087</v>
      </c>
      <c r="M506" s="254"/>
    </row>
    <row r="507" spans="2:13" x14ac:dyDescent="0.25">
      <c r="B507" s="509"/>
      <c r="C507" s="15" t="s">
        <v>1094</v>
      </c>
      <c r="D507" s="15" t="s">
        <v>1095</v>
      </c>
      <c r="E507" s="107">
        <f t="shared" si="35"/>
        <v>474</v>
      </c>
      <c r="F507" s="14">
        <f t="shared" si="34"/>
        <v>221</v>
      </c>
      <c r="G507" s="14" t="s">
        <v>1061</v>
      </c>
      <c r="H507" s="100">
        <v>221</v>
      </c>
      <c r="J507" s="176" t="s">
        <v>1087</v>
      </c>
      <c r="M507" s="254"/>
    </row>
    <row r="508" spans="2:13" x14ac:dyDescent="0.25">
      <c r="B508" s="510"/>
      <c r="C508" s="15" t="s">
        <v>1096</v>
      </c>
      <c r="D508" s="15" t="s">
        <v>1097</v>
      </c>
      <c r="E508" s="107">
        <f t="shared" si="35"/>
        <v>475</v>
      </c>
      <c r="F508" s="14">
        <f t="shared" si="34"/>
        <v>2519</v>
      </c>
      <c r="G508" s="14" t="s">
        <v>1061</v>
      </c>
      <c r="H508" s="100">
        <v>2519</v>
      </c>
      <c r="J508" s="176" t="s">
        <v>1087</v>
      </c>
      <c r="M508" s="254"/>
    </row>
    <row r="509" spans="2:13" x14ac:dyDescent="0.25">
      <c r="B509" s="257"/>
      <c r="C509" s="381" t="s">
        <v>1098</v>
      </c>
      <c r="D509" s="15" t="s">
        <v>1099</v>
      </c>
      <c r="E509" s="107">
        <f t="shared" si="35"/>
        <v>476</v>
      </c>
      <c r="F509" s="14">
        <f t="shared" si="34"/>
        <v>518</v>
      </c>
      <c r="G509" s="14" t="s">
        <v>1061</v>
      </c>
      <c r="H509" s="100">
        <v>518</v>
      </c>
      <c r="J509" s="176" t="s">
        <v>1087</v>
      </c>
      <c r="M509" s="254"/>
    </row>
    <row r="510" spans="2:13" x14ac:dyDescent="0.25">
      <c r="B510" s="266"/>
      <c r="C510" s="41" t="s">
        <v>1100</v>
      </c>
      <c r="D510" s="42"/>
      <c r="E510" s="105"/>
      <c r="F510" s="14"/>
      <c r="G510" s="14"/>
    </row>
    <row r="511" spans="2:13" x14ac:dyDescent="0.25">
      <c r="B511" s="521">
        <f>1+B503</f>
        <v>267</v>
      </c>
      <c r="C511" s="16" t="s">
        <v>1101</v>
      </c>
      <c r="D511" s="15" t="s">
        <v>1102</v>
      </c>
      <c r="E511" s="107">
        <f>E509+1</f>
        <v>477</v>
      </c>
      <c r="F511" s="14">
        <f t="shared" ref="F511:F538" si="36">H511</f>
        <v>12</v>
      </c>
      <c r="G511" s="14" t="s">
        <v>1061</v>
      </c>
      <c r="H511" s="100">
        <v>12</v>
      </c>
      <c r="J511" s="176" t="s">
        <v>1103</v>
      </c>
    </row>
    <row r="512" spans="2:13" x14ac:dyDescent="0.25">
      <c r="B512" s="509"/>
      <c r="C512" s="17"/>
      <c r="D512" s="15" t="s">
        <v>1104</v>
      </c>
      <c r="E512" s="107">
        <f t="shared" ref="E512:E538" si="37">E511+1</f>
        <v>478</v>
      </c>
      <c r="F512" s="14">
        <f t="shared" si="36"/>
        <v>5</v>
      </c>
      <c r="G512" s="14" t="s">
        <v>1061</v>
      </c>
      <c r="H512" s="100">
        <v>5</v>
      </c>
      <c r="J512" s="176" t="s">
        <v>1103</v>
      </c>
    </row>
    <row r="513" spans="2:10" x14ac:dyDescent="0.25">
      <c r="B513" s="509"/>
      <c r="C513" s="16" t="s">
        <v>1105</v>
      </c>
      <c r="D513" s="15" t="s">
        <v>1106</v>
      </c>
      <c r="E513" s="107">
        <f t="shared" si="37"/>
        <v>479</v>
      </c>
      <c r="F513" s="14">
        <f t="shared" si="36"/>
        <v>249</v>
      </c>
      <c r="G513" s="14" t="s">
        <v>1061</v>
      </c>
      <c r="H513" s="100">
        <v>249</v>
      </c>
      <c r="J513" s="176" t="s">
        <v>1103</v>
      </c>
    </row>
    <row r="514" spans="2:10" x14ac:dyDescent="0.25">
      <c r="B514" s="509"/>
      <c r="C514" s="17"/>
      <c r="D514" s="15" t="s">
        <v>1107</v>
      </c>
      <c r="E514" s="107">
        <f t="shared" si="37"/>
        <v>480</v>
      </c>
      <c r="F514" s="14">
        <f t="shared" si="36"/>
        <v>0</v>
      </c>
      <c r="G514" s="14" t="s">
        <v>1061</v>
      </c>
      <c r="H514" s="100">
        <v>0</v>
      </c>
      <c r="J514" s="176" t="s">
        <v>1103</v>
      </c>
    </row>
    <row r="515" spans="2:10" x14ac:dyDescent="0.25">
      <c r="B515" s="509"/>
      <c r="C515" s="16" t="s">
        <v>1108</v>
      </c>
      <c r="D515" s="15" t="s">
        <v>1109</v>
      </c>
      <c r="E515" s="107">
        <f t="shared" si="37"/>
        <v>481</v>
      </c>
      <c r="F515" s="23">
        <f t="shared" si="36"/>
        <v>38</v>
      </c>
      <c r="G515" s="14" t="s">
        <v>1061</v>
      </c>
      <c r="H515" s="100">
        <v>38</v>
      </c>
      <c r="J515" s="176" t="s">
        <v>1103</v>
      </c>
    </row>
    <row r="516" spans="2:10" x14ac:dyDescent="0.25">
      <c r="B516" s="509"/>
      <c r="C516" s="17"/>
      <c r="D516" s="15" t="s">
        <v>1110</v>
      </c>
      <c r="E516" s="107">
        <f t="shared" si="37"/>
        <v>482</v>
      </c>
      <c r="F516" s="14">
        <f t="shared" si="36"/>
        <v>0</v>
      </c>
      <c r="G516" s="14" t="s">
        <v>1061</v>
      </c>
      <c r="H516" s="100">
        <v>0</v>
      </c>
      <c r="J516" s="176" t="s">
        <v>1103</v>
      </c>
    </row>
    <row r="517" spans="2:10" x14ac:dyDescent="0.25">
      <c r="B517" s="509"/>
      <c r="C517" s="16" t="s">
        <v>1111</v>
      </c>
      <c r="D517" s="15" t="s">
        <v>1112</v>
      </c>
      <c r="E517" s="107">
        <f t="shared" si="37"/>
        <v>483</v>
      </c>
      <c r="F517" s="14">
        <f t="shared" si="36"/>
        <v>0</v>
      </c>
      <c r="G517" s="14" t="s">
        <v>1061</v>
      </c>
      <c r="H517" s="100">
        <v>0</v>
      </c>
      <c r="J517" s="176" t="s">
        <v>1103</v>
      </c>
    </row>
    <row r="518" spans="2:10" x14ac:dyDescent="0.25">
      <c r="B518" s="509"/>
      <c r="C518" s="17"/>
      <c r="D518" s="15" t="s">
        <v>1113</v>
      </c>
      <c r="E518" s="107">
        <f t="shared" si="37"/>
        <v>484</v>
      </c>
      <c r="F518" s="14">
        <f t="shared" si="36"/>
        <v>0</v>
      </c>
      <c r="G518" s="14" t="s">
        <v>1061</v>
      </c>
      <c r="H518" s="100">
        <v>0</v>
      </c>
      <c r="J518" s="176" t="s">
        <v>1103</v>
      </c>
    </row>
    <row r="519" spans="2:10" x14ac:dyDescent="0.25">
      <c r="B519" s="509"/>
      <c r="C519" s="16" t="s">
        <v>1114</v>
      </c>
      <c r="D519" s="15" t="s">
        <v>1115</v>
      </c>
      <c r="E519" s="107">
        <f t="shared" si="37"/>
        <v>485</v>
      </c>
      <c r="F519" s="14">
        <f t="shared" si="36"/>
        <v>20</v>
      </c>
      <c r="G519" s="14" t="s">
        <v>1061</v>
      </c>
      <c r="H519" s="100">
        <v>20</v>
      </c>
      <c r="J519" s="176" t="s">
        <v>1103</v>
      </c>
    </row>
    <row r="520" spans="2:10" x14ac:dyDescent="0.25">
      <c r="B520" s="509"/>
      <c r="C520" s="17"/>
      <c r="D520" s="15" t="s">
        <v>1116</v>
      </c>
      <c r="E520" s="107">
        <f t="shared" si="37"/>
        <v>486</v>
      </c>
      <c r="F520" s="14">
        <f t="shared" si="36"/>
        <v>31</v>
      </c>
      <c r="G520" s="14" t="s">
        <v>1061</v>
      </c>
      <c r="H520" s="100">
        <v>31</v>
      </c>
      <c r="J520" s="176" t="s">
        <v>1103</v>
      </c>
    </row>
    <row r="521" spans="2:10" x14ac:dyDescent="0.25">
      <c r="B521" s="509"/>
      <c r="C521" s="16" t="s">
        <v>1117</v>
      </c>
      <c r="D521" s="15" t="s">
        <v>1118</v>
      </c>
      <c r="E521" s="107">
        <f t="shared" si="37"/>
        <v>487</v>
      </c>
      <c r="F521" s="14">
        <f t="shared" si="36"/>
        <v>61</v>
      </c>
      <c r="G521" s="14" t="s">
        <v>1061</v>
      </c>
      <c r="H521" s="100">
        <v>61</v>
      </c>
      <c r="J521" s="176" t="s">
        <v>1103</v>
      </c>
    </row>
    <row r="522" spans="2:10" x14ac:dyDescent="0.25">
      <c r="B522" s="509"/>
      <c r="C522" s="17"/>
      <c r="D522" s="15" t="s">
        <v>1119</v>
      </c>
      <c r="E522" s="107">
        <f t="shared" si="37"/>
        <v>488</v>
      </c>
      <c r="F522" s="14">
        <f t="shared" si="36"/>
        <v>67</v>
      </c>
      <c r="G522" s="14" t="s">
        <v>1061</v>
      </c>
      <c r="H522" s="100">
        <v>67</v>
      </c>
      <c r="J522" s="176" t="s">
        <v>1103</v>
      </c>
    </row>
    <row r="523" spans="2:10" x14ac:dyDescent="0.25">
      <c r="B523" s="509"/>
      <c r="C523" s="16" t="s">
        <v>1120</v>
      </c>
      <c r="D523" s="15" t="s">
        <v>1121</v>
      </c>
      <c r="E523" s="107">
        <f t="shared" si="37"/>
        <v>489</v>
      </c>
      <c r="F523" s="14">
        <f t="shared" si="36"/>
        <v>243</v>
      </c>
      <c r="G523" s="14" t="s">
        <v>1061</v>
      </c>
      <c r="H523" s="100">
        <v>243</v>
      </c>
      <c r="J523" s="176" t="s">
        <v>1103</v>
      </c>
    </row>
    <row r="524" spans="2:10" x14ac:dyDescent="0.25">
      <c r="B524" s="509"/>
      <c r="C524" s="17"/>
      <c r="D524" s="15" t="s">
        <v>1122</v>
      </c>
      <c r="E524" s="107">
        <f t="shared" si="37"/>
        <v>490</v>
      </c>
      <c r="F524" s="14">
        <f t="shared" si="36"/>
        <v>101</v>
      </c>
      <c r="G524" s="14" t="s">
        <v>1061</v>
      </c>
      <c r="H524" s="100">
        <v>101</v>
      </c>
      <c r="J524" s="176" t="s">
        <v>1103</v>
      </c>
    </row>
    <row r="525" spans="2:10" x14ac:dyDescent="0.25">
      <c r="B525" s="509"/>
      <c r="C525" s="16" t="s">
        <v>1123</v>
      </c>
      <c r="D525" s="15" t="s">
        <v>1124</v>
      </c>
      <c r="E525" s="107">
        <f t="shared" si="37"/>
        <v>491</v>
      </c>
      <c r="F525" s="14">
        <f t="shared" si="36"/>
        <v>0</v>
      </c>
      <c r="G525" s="14" t="s">
        <v>1061</v>
      </c>
      <c r="H525" s="100">
        <v>0</v>
      </c>
      <c r="J525" s="176" t="s">
        <v>1103</v>
      </c>
    </row>
    <row r="526" spans="2:10" x14ac:dyDescent="0.25">
      <c r="B526" s="509"/>
      <c r="C526" s="17"/>
      <c r="D526" s="15" t="s">
        <v>1125</v>
      </c>
      <c r="E526" s="107">
        <f t="shared" si="37"/>
        <v>492</v>
      </c>
      <c r="F526" s="14">
        <f t="shared" si="36"/>
        <v>0</v>
      </c>
      <c r="G526" s="14" t="s">
        <v>1061</v>
      </c>
      <c r="H526" s="100">
        <v>0</v>
      </c>
      <c r="J526" s="176" t="s">
        <v>1103</v>
      </c>
    </row>
    <row r="527" spans="2:10" x14ac:dyDescent="0.25">
      <c r="B527" s="509"/>
      <c r="C527" s="16" t="s">
        <v>1126</v>
      </c>
      <c r="D527" s="15" t="s">
        <v>1127</v>
      </c>
      <c r="E527" s="107">
        <f t="shared" si="37"/>
        <v>493</v>
      </c>
      <c r="F527" s="14">
        <f t="shared" si="36"/>
        <v>1</v>
      </c>
      <c r="G527" s="14" t="s">
        <v>1061</v>
      </c>
      <c r="H527" s="100">
        <v>1</v>
      </c>
      <c r="J527" s="176" t="s">
        <v>1103</v>
      </c>
    </row>
    <row r="528" spans="2:10" x14ac:dyDescent="0.25">
      <c r="B528" s="509"/>
      <c r="C528" s="17"/>
      <c r="D528" s="15" t="s">
        <v>1128</v>
      </c>
      <c r="E528" s="107">
        <f t="shared" si="37"/>
        <v>494</v>
      </c>
      <c r="F528" s="14">
        <f t="shared" si="36"/>
        <v>0</v>
      </c>
      <c r="G528" s="14" t="s">
        <v>1061</v>
      </c>
      <c r="H528" s="100">
        <v>0</v>
      </c>
      <c r="J528" s="176" t="s">
        <v>1103</v>
      </c>
    </row>
    <row r="529" spans="2:11" x14ac:dyDescent="0.25">
      <c r="B529" s="509"/>
      <c r="C529" s="16" t="s">
        <v>1129</v>
      </c>
      <c r="D529" s="15" t="s">
        <v>1130</v>
      </c>
      <c r="E529" s="107">
        <f t="shared" si="37"/>
        <v>495</v>
      </c>
      <c r="F529" s="14">
        <f t="shared" si="36"/>
        <v>0</v>
      </c>
      <c r="G529" s="14" t="s">
        <v>1061</v>
      </c>
      <c r="H529" s="100">
        <v>0</v>
      </c>
      <c r="J529" s="176" t="s">
        <v>1103</v>
      </c>
    </row>
    <row r="530" spans="2:11" x14ac:dyDescent="0.25">
      <c r="B530" s="509"/>
      <c r="C530" s="17"/>
      <c r="D530" s="15" t="s">
        <v>1131</v>
      </c>
      <c r="E530" s="107">
        <f t="shared" si="37"/>
        <v>496</v>
      </c>
      <c r="F530" s="14">
        <f t="shared" si="36"/>
        <v>2</v>
      </c>
      <c r="G530" s="14" t="s">
        <v>1061</v>
      </c>
      <c r="H530" s="100">
        <v>2</v>
      </c>
      <c r="J530" s="176" t="s">
        <v>1103</v>
      </c>
    </row>
    <row r="531" spans="2:11" x14ac:dyDescent="0.25">
      <c r="B531" s="509"/>
      <c r="C531" s="16" t="s">
        <v>1132</v>
      </c>
      <c r="D531" s="15" t="s">
        <v>1133</v>
      </c>
      <c r="E531" s="107">
        <f t="shared" si="37"/>
        <v>497</v>
      </c>
      <c r="F531" s="14">
        <f t="shared" si="36"/>
        <v>3</v>
      </c>
      <c r="G531" s="14" t="s">
        <v>1061</v>
      </c>
      <c r="H531" s="100">
        <v>3</v>
      </c>
      <c r="J531" s="176" t="s">
        <v>1103</v>
      </c>
    </row>
    <row r="532" spans="2:11" x14ac:dyDescent="0.25">
      <c r="B532" s="509"/>
      <c r="C532" s="16" t="s">
        <v>1134</v>
      </c>
      <c r="D532" s="15" t="s">
        <v>1135</v>
      </c>
      <c r="E532" s="107">
        <f t="shared" si="37"/>
        <v>498</v>
      </c>
      <c r="F532" s="14">
        <f t="shared" si="36"/>
        <v>2</v>
      </c>
      <c r="G532" s="14" t="s">
        <v>1061</v>
      </c>
      <c r="H532" s="100">
        <v>2</v>
      </c>
      <c r="J532" s="176" t="s">
        <v>1103</v>
      </c>
    </row>
    <row r="533" spans="2:11" x14ac:dyDescent="0.25">
      <c r="B533" s="509"/>
      <c r="C533" s="17"/>
      <c r="D533" s="15" t="s">
        <v>1136</v>
      </c>
      <c r="E533" s="107">
        <f t="shared" si="37"/>
        <v>499</v>
      </c>
      <c r="F533" s="14">
        <f t="shared" si="36"/>
        <v>7</v>
      </c>
      <c r="G533" s="14" t="s">
        <v>1061</v>
      </c>
      <c r="H533" s="100">
        <v>7</v>
      </c>
      <c r="J533" s="176" t="s">
        <v>1103</v>
      </c>
    </row>
    <row r="534" spans="2:11" x14ac:dyDescent="0.25">
      <c r="B534" s="509"/>
      <c r="C534" s="531" t="s">
        <v>1137</v>
      </c>
      <c r="D534" s="15" t="s">
        <v>1138</v>
      </c>
      <c r="E534" s="107">
        <f t="shared" si="37"/>
        <v>500</v>
      </c>
      <c r="F534" s="14">
        <f t="shared" si="36"/>
        <v>560</v>
      </c>
      <c r="G534" s="14" t="s">
        <v>1061</v>
      </c>
      <c r="H534" s="100">
        <v>560</v>
      </c>
      <c r="J534" s="176" t="s">
        <v>1103</v>
      </c>
    </row>
    <row r="535" spans="2:11" x14ac:dyDescent="0.25">
      <c r="B535" s="509"/>
      <c r="C535" s="532"/>
      <c r="D535" s="15" t="s">
        <v>1139</v>
      </c>
      <c r="E535" s="107">
        <f t="shared" si="37"/>
        <v>501</v>
      </c>
      <c r="F535" s="14">
        <f t="shared" si="36"/>
        <v>184</v>
      </c>
      <c r="G535" s="14" t="s">
        <v>1061</v>
      </c>
      <c r="H535" s="100">
        <v>184</v>
      </c>
      <c r="J535" s="176" t="s">
        <v>1103</v>
      </c>
    </row>
    <row r="536" spans="2:11" x14ac:dyDescent="0.25">
      <c r="B536" s="509"/>
      <c r="C536" s="533"/>
      <c r="D536" s="184" t="s">
        <v>1140</v>
      </c>
      <c r="E536" s="185">
        <f t="shared" si="37"/>
        <v>502</v>
      </c>
      <c r="F536" s="183">
        <f t="shared" si="36"/>
        <v>744</v>
      </c>
      <c r="G536" s="183" t="s">
        <v>1061</v>
      </c>
      <c r="H536" s="190">
        <f>SUM($H$534:$H$535)</f>
        <v>744</v>
      </c>
      <c r="I536" s="187"/>
    </row>
    <row r="537" spans="2:11" s="6" customFormat="1" x14ac:dyDescent="0.25">
      <c r="B537" s="256"/>
      <c r="C537" s="16" t="s">
        <v>1141</v>
      </c>
      <c r="D537" s="184" t="s">
        <v>1142</v>
      </c>
      <c r="E537" s="185">
        <f t="shared" si="37"/>
        <v>503</v>
      </c>
      <c r="F537" s="183">
        <f t="shared" si="36"/>
        <v>1</v>
      </c>
      <c r="G537" s="183" t="s">
        <v>1061</v>
      </c>
      <c r="H537" s="190">
        <f>$H$843+$H$845+$H$847+$H$849+$H$851</f>
        <v>1</v>
      </c>
      <c r="I537" s="187"/>
      <c r="J537" s="174"/>
      <c r="K537" s="385"/>
    </row>
    <row r="538" spans="2:11" s="6" customFormat="1" x14ac:dyDescent="0.25">
      <c r="B538" s="257"/>
      <c r="C538" s="17"/>
      <c r="D538" s="184" t="s">
        <v>1143</v>
      </c>
      <c r="E538" s="185">
        <f t="shared" si="37"/>
        <v>504</v>
      </c>
      <c r="F538" s="183">
        <f t="shared" si="36"/>
        <v>3</v>
      </c>
      <c r="G538" s="183" t="s">
        <v>1061</v>
      </c>
      <c r="H538" s="190">
        <f>$H$844+$H$846+$H$848+$H$850+$H$852</f>
        <v>3</v>
      </c>
      <c r="I538" s="187"/>
      <c r="J538" s="174"/>
      <c r="K538" s="385"/>
    </row>
    <row r="539" spans="2:11" x14ac:dyDescent="0.25">
      <c r="B539" s="524" t="s">
        <v>1144</v>
      </c>
      <c r="C539" s="524"/>
      <c r="D539" s="524"/>
      <c r="E539" s="105"/>
      <c r="F539" s="14"/>
      <c r="G539" s="14"/>
    </row>
    <row r="540" spans="2:11" x14ac:dyDescent="0.25">
      <c r="B540" s="118"/>
      <c r="C540" s="46" t="s">
        <v>1145</v>
      </c>
      <c r="D540" s="68"/>
      <c r="E540" s="135"/>
      <c r="F540" s="14"/>
      <c r="G540" s="134"/>
    </row>
    <row r="541" spans="2:11" x14ac:dyDescent="0.25">
      <c r="B541" s="118"/>
      <c r="C541" s="46" t="s">
        <v>1146</v>
      </c>
      <c r="D541" s="47"/>
      <c r="E541" s="105"/>
      <c r="F541" s="14"/>
      <c r="G541" s="134"/>
    </row>
    <row r="542" spans="2:11" x14ac:dyDescent="0.25">
      <c r="B542" s="506" t="str">
        <f>"S "&amp;301</f>
        <v>S 301</v>
      </c>
      <c r="C542" s="18" t="s">
        <v>1147</v>
      </c>
      <c r="D542" s="18" t="s">
        <v>1148</v>
      </c>
      <c r="E542" s="107">
        <f>E538+1</f>
        <v>505</v>
      </c>
      <c r="F542" s="14">
        <f>H542</f>
        <v>5</v>
      </c>
      <c r="G542" s="14" t="s">
        <v>45</v>
      </c>
      <c r="H542" s="2">
        <v>5</v>
      </c>
    </row>
    <row r="543" spans="2:11" x14ac:dyDescent="0.25">
      <c r="B543" s="513"/>
      <c r="C543" s="18" t="s">
        <v>1149</v>
      </c>
      <c r="D543" s="18" t="s">
        <v>1150</v>
      </c>
      <c r="E543" s="107">
        <f>E542+1</f>
        <v>506</v>
      </c>
      <c r="F543" s="20">
        <f>H543</f>
        <v>20</v>
      </c>
      <c r="G543" s="14" t="s">
        <v>1151</v>
      </c>
      <c r="H543" s="65">
        <v>20</v>
      </c>
      <c r="J543" s="174" t="s">
        <v>1152</v>
      </c>
    </row>
    <row r="544" spans="2:11" s="6" customFormat="1" ht="24" customHeight="1" x14ac:dyDescent="0.25">
      <c r="B544" s="535"/>
      <c r="C544" s="18" t="s">
        <v>1153</v>
      </c>
      <c r="D544" s="18" t="s">
        <v>1154</v>
      </c>
      <c r="E544" s="107">
        <f>E543+1</f>
        <v>507</v>
      </c>
      <c r="F544" s="19">
        <f>H544</f>
        <v>1</v>
      </c>
      <c r="G544" s="14" t="s">
        <v>1155</v>
      </c>
      <c r="H544" s="4">
        <v>1</v>
      </c>
      <c r="I544" s="173" t="s">
        <v>1156</v>
      </c>
      <c r="J544" s="174" t="s">
        <v>1157</v>
      </c>
      <c r="K544" s="385"/>
    </row>
    <row r="545" spans="2:10" x14ac:dyDescent="0.25">
      <c r="B545" s="259"/>
      <c r="C545" s="48" t="s">
        <v>1158</v>
      </c>
      <c r="D545" s="49"/>
      <c r="E545" s="19"/>
      <c r="F545" s="14"/>
      <c r="G545" s="14"/>
    </row>
    <row r="546" spans="2:10" x14ac:dyDescent="0.25">
      <c r="B546" s="506" t="str">
        <f>"S "&amp;(RIGHT(B542,3)+1)</f>
        <v>S 302</v>
      </c>
      <c r="C546" s="18" t="s">
        <v>1159</v>
      </c>
      <c r="D546" s="18" t="s">
        <v>1160</v>
      </c>
      <c r="E546" s="107">
        <f>E544+1</f>
        <v>508</v>
      </c>
      <c r="F546" s="14">
        <f>H546</f>
        <v>0</v>
      </c>
      <c r="G546" s="14" t="s">
        <v>45</v>
      </c>
      <c r="H546" s="2">
        <v>0</v>
      </c>
    </row>
    <row r="547" spans="2:10" x14ac:dyDescent="0.25">
      <c r="B547" s="513"/>
      <c r="C547" s="18" t="s">
        <v>1161</v>
      </c>
      <c r="D547" s="18" t="s">
        <v>1162</v>
      </c>
      <c r="E547" s="107">
        <f>E546+1</f>
        <v>509</v>
      </c>
      <c r="F547" s="20">
        <f>H547</f>
        <v>40000</v>
      </c>
      <c r="G547" s="14" t="s">
        <v>1151</v>
      </c>
      <c r="H547" s="65">
        <v>40000</v>
      </c>
      <c r="J547" s="174" t="s">
        <v>1163</v>
      </c>
    </row>
    <row r="548" spans="2:10" x14ac:dyDescent="0.25">
      <c r="B548" s="507"/>
      <c r="C548" s="18" t="s">
        <v>1164</v>
      </c>
      <c r="D548" s="18" t="s">
        <v>1165</v>
      </c>
      <c r="E548" s="107">
        <f>E547+1</f>
        <v>510</v>
      </c>
      <c r="F548" s="14">
        <f>H548</f>
        <v>60</v>
      </c>
      <c r="G548" s="14" t="s">
        <v>1155</v>
      </c>
      <c r="H548" s="4">
        <v>60</v>
      </c>
      <c r="J548" s="174" t="s">
        <v>1157</v>
      </c>
    </row>
    <row r="549" spans="2:10" x14ac:dyDescent="0.25">
      <c r="B549" s="268"/>
      <c r="C549" s="48" t="s">
        <v>1166</v>
      </c>
      <c r="D549" s="49"/>
      <c r="E549" s="19"/>
      <c r="F549" s="14"/>
      <c r="G549" s="14"/>
    </row>
    <row r="550" spans="2:10" x14ac:dyDescent="0.25">
      <c r="B550" s="506" t="str">
        <f>"S "&amp;(RIGHT(B546,3)+1)</f>
        <v>S 303</v>
      </c>
      <c r="C550" s="18" t="s">
        <v>1167</v>
      </c>
      <c r="D550" s="18" t="s">
        <v>1168</v>
      </c>
      <c r="E550" s="107">
        <f>E548+1</f>
        <v>511</v>
      </c>
      <c r="F550" s="14">
        <f>H550</f>
        <v>0</v>
      </c>
      <c r="G550" s="14" t="s">
        <v>45</v>
      </c>
      <c r="H550" s="2">
        <v>0</v>
      </c>
    </row>
    <row r="551" spans="2:10" x14ac:dyDescent="0.25">
      <c r="B551" s="513"/>
      <c r="C551" s="18" t="s">
        <v>1169</v>
      </c>
      <c r="D551" s="18" t="s">
        <v>1170</v>
      </c>
      <c r="E551" s="107">
        <f>E550+1</f>
        <v>512</v>
      </c>
      <c r="F551" s="20">
        <f>H551</f>
        <v>40000</v>
      </c>
      <c r="G551" s="14" t="s">
        <v>1151</v>
      </c>
      <c r="H551" s="65">
        <v>40000</v>
      </c>
      <c r="J551" s="174" t="s">
        <v>1163</v>
      </c>
    </row>
    <row r="552" spans="2:10" x14ac:dyDescent="0.25">
      <c r="B552" s="507"/>
      <c r="C552" s="18" t="s">
        <v>1171</v>
      </c>
      <c r="D552" s="18" t="s">
        <v>1172</v>
      </c>
      <c r="E552" s="107">
        <f>E551+1</f>
        <v>513</v>
      </c>
      <c r="F552" s="14">
        <f>H552</f>
        <v>60</v>
      </c>
      <c r="G552" s="14" t="s">
        <v>1155</v>
      </c>
      <c r="H552" s="4">
        <v>60</v>
      </c>
      <c r="J552" s="174" t="s">
        <v>1157</v>
      </c>
    </row>
    <row r="553" spans="2:10" x14ac:dyDescent="0.25">
      <c r="B553" s="268"/>
      <c r="C553" s="48" t="s">
        <v>1173</v>
      </c>
      <c r="D553" s="49"/>
      <c r="E553" s="19"/>
      <c r="F553" s="14"/>
      <c r="G553" s="14"/>
      <c r="H553" s="1">
        <v>0</v>
      </c>
    </row>
    <row r="554" spans="2:10" x14ac:dyDescent="0.25">
      <c r="B554" s="506" t="str">
        <f>"S "&amp;(RIGHT(B550,3)+1)</f>
        <v>S 304</v>
      </c>
      <c r="C554" s="18" t="s">
        <v>1174</v>
      </c>
      <c r="D554" s="18" t="s">
        <v>1175</v>
      </c>
      <c r="E554" s="107">
        <f>E552+1</f>
        <v>514</v>
      </c>
      <c r="F554" s="14" t="str">
        <f>H554</f>
        <v/>
      </c>
      <c r="G554" s="14" t="s">
        <v>45</v>
      </c>
      <c r="H554" s="2"/>
    </row>
    <row r="555" spans="2:10" x14ac:dyDescent="0.25">
      <c r="B555" s="513"/>
      <c r="C555" s="18" t="s">
        <v>1176</v>
      </c>
      <c r="D555" s="18" t="s">
        <v>1177</v>
      </c>
      <c r="E555" s="107">
        <f>E554+1</f>
        <v>515</v>
      </c>
      <c r="F555" s="20">
        <f>H555</f>
        <v>14000</v>
      </c>
      <c r="G555" s="14" t="s">
        <v>1151</v>
      </c>
      <c r="H555" s="65">
        <v>14000</v>
      </c>
      <c r="J555" s="174" t="s">
        <v>1163</v>
      </c>
    </row>
    <row r="556" spans="2:10" x14ac:dyDescent="0.25">
      <c r="B556" s="507"/>
      <c r="C556" s="18" t="s">
        <v>1178</v>
      </c>
      <c r="D556" s="18" t="s">
        <v>1179</v>
      </c>
      <c r="E556" s="107">
        <f>E555+1</f>
        <v>516</v>
      </c>
      <c r="F556" s="14">
        <f>H556</f>
        <v>18</v>
      </c>
      <c r="G556" s="14" t="s">
        <v>1155</v>
      </c>
      <c r="H556" s="4">
        <v>18</v>
      </c>
      <c r="J556" s="174" t="s">
        <v>1157</v>
      </c>
    </row>
    <row r="557" spans="2:10" x14ac:dyDescent="0.25">
      <c r="B557" s="268"/>
      <c r="C557" s="48" t="s">
        <v>1180</v>
      </c>
      <c r="D557" s="49"/>
      <c r="E557" s="19"/>
      <c r="F557" s="14"/>
      <c r="G557" s="14"/>
    </row>
    <row r="558" spans="2:10" x14ac:dyDescent="0.25">
      <c r="B558" s="506" t="str">
        <f>"S "&amp;(RIGHT(B554,3)+1)</f>
        <v>S 305</v>
      </c>
      <c r="C558" s="18" t="s">
        <v>1181</v>
      </c>
      <c r="D558" s="18" t="s">
        <v>1182</v>
      </c>
      <c r="E558" s="107">
        <f>E556+1</f>
        <v>517</v>
      </c>
      <c r="F558" s="14">
        <f>H558</f>
        <v>0</v>
      </c>
      <c r="G558" s="14" t="s">
        <v>45</v>
      </c>
      <c r="H558" s="2">
        <v>0</v>
      </c>
    </row>
    <row r="559" spans="2:10" x14ac:dyDescent="0.25">
      <c r="B559" s="513"/>
      <c r="C559" s="18" t="s">
        <v>1183</v>
      </c>
      <c r="D559" s="18" t="s">
        <v>1184</v>
      </c>
      <c r="E559" s="107">
        <f>E558+1</f>
        <v>518</v>
      </c>
      <c r="F559" s="20">
        <f>H559</f>
        <v>0</v>
      </c>
      <c r="G559" s="14" t="s">
        <v>1151</v>
      </c>
      <c r="H559" s="65">
        <v>0</v>
      </c>
      <c r="J559" s="174" t="s">
        <v>1163</v>
      </c>
    </row>
    <row r="560" spans="2:10" x14ac:dyDescent="0.25">
      <c r="B560" s="507"/>
      <c r="C560" s="18" t="s">
        <v>1185</v>
      </c>
      <c r="D560" s="18" t="s">
        <v>1186</v>
      </c>
      <c r="E560" s="107">
        <f>E559+1</f>
        <v>519</v>
      </c>
      <c r="F560" s="14">
        <f>H560</f>
        <v>0</v>
      </c>
      <c r="G560" s="14" t="s">
        <v>1155</v>
      </c>
      <c r="H560" s="4">
        <v>0</v>
      </c>
      <c r="J560" s="174" t="s">
        <v>1157</v>
      </c>
    </row>
    <row r="561" spans="2:10" x14ac:dyDescent="0.25">
      <c r="B561" s="268"/>
      <c r="C561" s="48" t="s">
        <v>1187</v>
      </c>
      <c r="D561" s="49"/>
      <c r="E561" s="19"/>
      <c r="F561" s="14"/>
      <c r="G561" s="14"/>
    </row>
    <row r="562" spans="2:10" x14ac:dyDescent="0.25">
      <c r="B562" s="506" t="str">
        <f>"S "&amp;(RIGHT(B558,3)+1)</f>
        <v>S 306</v>
      </c>
      <c r="C562" s="18" t="s">
        <v>1188</v>
      </c>
      <c r="D562" s="18" t="s">
        <v>1189</v>
      </c>
      <c r="E562" s="107">
        <f>E560+1</f>
        <v>520</v>
      </c>
      <c r="F562" s="14">
        <f>H562</f>
        <v>1</v>
      </c>
      <c r="G562" s="14" t="s">
        <v>45</v>
      </c>
      <c r="H562" s="2">
        <v>1</v>
      </c>
    </row>
    <row r="563" spans="2:10" x14ac:dyDescent="0.25">
      <c r="B563" s="513"/>
      <c r="C563" s="18" t="s">
        <v>1190</v>
      </c>
      <c r="D563" s="18" t="s">
        <v>1191</v>
      </c>
      <c r="E563" s="107">
        <f>E562+1</f>
        <v>521</v>
      </c>
      <c r="F563" s="20">
        <f>H563</f>
        <v>20</v>
      </c>
      <c r="G563" s="14" t="s">
        <v>1151</v>
      </c>
      <c r="H563" s="65">
        <v>20</v>
      </c>
      <c r="J563" s="174" t="s">
        <v>1163</v>
      </c>
    </row>
    <row r="564" spans="2:10" x14ac:dyDescent="0.25">
      <c r="B564" s="507"/>
      <c r="C564" s="18" t="s">
        <v>1192</v>
      </c>
      <c r="D564" s="18" t="s">
        <v>1193</v>
      </c>
      <c r="E564" s="107">
        <f>E563+1</f>
        <v>522</v>
      </c>
      <c r="F564" s="14">
        <f>H564</f>
        <v>1</v>
      </c>
      <c r="G564" s="14" t="s">
        <v>1155</v>
      </c>
      <c r="H564" s="4">
        <v>1</v>
      </c>
      <c r="J564" s="174" t="s">
        <v>1157</v>
      </c>
    </row>
    <row r="565" spans="2:10" x14ac:dyDescent="0.25">
      <c r="B565" s="268"/>
      <c r="C565" s="48" t="s">
        <v>1194</v>
      </c>
      <c r="D565" s="49"/>
      <c r="E565" s="19"/>
      <c r="F565" s="14"/>
      <c r="G565" s="14"/>
    </row>
    <row r="566" spans="2:10" x14ac:dyDescent="0.25">
      <c r="B566" s="506" t="str">
        <f>"S "&amp;(RIGHT(B562,3)+1)</f>
        <v>S 307</v>
      </c>
      <c r="C566" s="18" t="s">
        <v>1195</v>
      </c>
      <c r="D566" s="18" t="s">
        <v>1196</v>
      </c>
      <c r="E566" s="107">
        <f>E564+1</f>
        <v>523</v>
      </c>
      <c r="F566" s="14">
        <f>H566</f>
        <v>0</v>
      </c>
      <c r="G566" s="14" t="s">
        <v>45</v>
      </c>
      <c r="H566" s="2">
        <v>0</v>
      </c>
    </row>
    <row r="567" spans="2:10" x14ac:dyDescent="0.25">
      <c r="B567" s="513"/>
      <c r="C567" s="18" t="s">
        <v>1197</v>
      </c>
      <c r="D567" s="18" t="s">
        <v>1198</v>
      </c>
      <c r="E567" s="107">
        <f>E566+1</f>
        <v>524</v>
      </c>
      <c r="F567" s="20">
        <f>H567</f>
        <v>14000</v>
      </c>
      <c r="G567" s="14" t="s">
        <v>1151</v>
      </c>
      <c r="H567" s="65">
        <v>14000</v>
      </c>
      <c r="J567" s="174" t="s">
        <v>1163</v>
      </c>
    </row>
    <row r="568" spans="2:10" x14ac:dyDescent="0.25">
      <c r="B568" s="507"/>
      <c r="C568" s="18" t="s">
        <v>1199</v>
      </c>
      <c r="D568" s="18" t="s">
        <v>1200</v>
      </c>
      <c r="E568" s="107">
        <f>E567+1</f>
        <v>525</v>
      </c>
      <c r="F568" s="14">
        <f>H568</f>
        <v>18</v>
      </c>
      <c r="G568" s="14" t="s">
        <v>1155</v>
      </c>
      <c r="H568" s="4">
        <v>18</v>
      </c>
      <c r="J568" s="174" t="s">
        <v>1157</v>
      </c>
    </row>
    <row r="569" spans="2:10" x14ac:dyDescent="0.25">
      <c r="B569" s="268"/>
      <c r="C569" s="48" t="s">
        <v>1201</v>
      </c>
      <c r="D569" s="49"/>
      <c r="E569" s="19"/>
      <c r="F569" s="14"/>
      <c r="G569" s="14"/>
    </row>
    <row r="570" spans="2:10" x14ac:dyDescent="0.25">
      <c r="B570" s="506" t="str">
        <f>"S "&amp;(RIGHT(B566,3)+1)</f>
        <v>S 308</v>
      </c>
      <c r="C570" s="18" t="s">
        <v>1202</v>
      </c>
      <c r="D570" s="18" t="s">
        <v>1203</v>
      </c>
      <c r="E570" s="107">
        <f>E568+1</f>
        <v>526</v>
      </c>
      <c r="F570" s="14">
        <f>H570</f>
        <v>1</v>
      </c>
      <c r="G570" s="14" t="s">
        <v>45</v>
      </c>
      <c r="H570" s="2">
        <v>1</v>
      </c>
    </row>
    <row r="571" spans="2:10" x14ac:dyDescent="0.25">
      <c r="B571" s="513"/>
      <c r="C571" s="18" t="s">
        <v>1204</v>
      </c>
      <c r="D571" s="18" t="s">
        <v>1205</v>
      </c>
      <c r="E571" s="107">
        <f>E570+1</f>
        <v>527</v>
      </c>
      <c r="F571" s="20">
        <f>H571</f>
        <v>3800</v>
      </c>
      <c r="G571" s="14" t="s">
        <v>1151</v>
      </c>
      <c r="H571" s="65">
        <v>3800</v>
      </c>
      <c r="J571" s="174" t="s">
        <v>1163</v>
      </c>
    </row>
    <row r="572" spans="2:10" x14ac:dyDescent="0.25">
      <c r="B572" s="507"/>
      <c r="C572" s="18" t="s">
        <v>1206</v>
      </c>
      <c r="D572" s="18" t="s">
        <v>1207</v>
      </c>
      <c r="E572" s="107">
        <f>E571+1</f>
        <v>528</v>
      </c>
      <c r="F572" s="14">
        <f>H572</f>
        <v>6</v>
      </c>
      <c r="G572" s="14" t="s">
        <v>1155</v>
      </c>
      <c r="H572" s="4">
        <v>6</v>
      </c>
      <c r="J572" s="174" t="s">
        <v>1157</v>
      </c>
    </row>
    <row r="573" spans="2:10" x14ac:dyDescent="0.25">
      <c r="B573" s="268"/>
      <c r="C573" s="48" t="s">
        <v>1208</v>
      </c>
      <c r="D573" s="49"/>
      <c r="E573" s="19"/>
      <c r="F573" s="14"/>
      <c r="G573" s="14"/>
    </row>
    <row r="574" spans="2:10" x14ac:dyDescent="0.25">
      <c r="B574" s="506" t="str">
        <f>"S "&amp;(RIGHT(B570,3)+1)</f>
        <v>S 309</v>
      </c>
      <c r="C574" s="18" t="s">
        <v>1209</v>
      </c>
      <c r="D574" s="18" t="s">
        <v>1210</v>
      </c>
      <c r="E574" s="107">
        <f>E572+1</f>
        <v>529</v>
      </c>
      <c r="F574" s="14">
        <f>H574</f>
        <v>1</v>
      </c>
      <c r="G574" s="14" t="s">
        <v>45</v>
      </c>
      <c r="H574" s="2">
        <v>1</v>
      </c>
    </row>
    <row r="575" spans="2:10" x14ac:dyDescent="0.25">
      <c r="B575" s="513"/>
      <c r="C575" s="18" t="s">
        <v>1211</v>
      </c>
      <c r="D575" s="18" t="s">
        <v>1212</v>
      </c>
      <c r="E575" s="107">
        <f>E574+1</f>
        <v>530</v>
      </c>
      <c r="F575" s="20">
        <f>H575</f>
        <v>1200</v>
      </c>
      <c r="G575" s="14" t="s">
        <v>1151</v>
      </c>
      <c r="H575" s="65">
        <v>1200</v>
      </c>
      <c r="J575" s="174" t="s">
        <v>1163</v>
      </c>
    </row>
    <row r="576" spans="2:10" x14ac:dyDescent="0.25">
      <c r="B576" s="507"/>
      <c r="C576" s="18" t="s">
        <v>1213</v>
      </c>
      <c r="D576" s="18" t="s">
        <v>1214</v>
      </c>
      <c r="E576" s="107">
        <f>E575+1</f>
        <v>531</v>
      </c>
      <c r="F576" s="14">
        <f>H576</f>
        <v>3</v>
      </c>
      <c r="G576" s="14" t="s">
        <v>1155</v>
      </c>
      <c r="H576" s="4">
        <v>3</v>
      </c>
      <c r="J576" s="174" t="s">
        <v>1157</v>
      </c>
    </row>
    <row r="577" spans="2:11" x14ac:dyDescent="0.25">
      <c r="B577" s="268"/>
      <c r="C577" s="48" t="s">
        <v>1215</v>
      </c>
      <c r="D577" s="49"/>
      <c r="E577" s="19"/>
      <c r="F577" s="14"/>
      <c r="G577" s="14"/>
    </row>
    <row r="578" spans="2:11" x14ac:dyDescent="0.25">
      <c r="B578" s="506" t="str">
        <f>"S "&amp;(RIGHT(B574,3)+1)</f>
        <v>S 310</v>
      </c>
      <c r="C578" s="18" t="s">
        <v>1216</v>
      </c>
      <c r="D578" s="18" t="s">
        <v>1217</v>
      </c>
      <c r="E578" s="107">
        <f>E576+1</f>
        <v>532</v>
      </c>
      <c r="F578" s="14">
        <f>H578</f>
        <v>0</v>
      </c>
      <c r="G578" s="14" t="s">
        <v>45</v>
      </c>
      <c r="H578" s="2">
        <v>0</v>
      </c>
    </row>
    <row r="579" spans="2:11" x14ac:dyDescent="0.25">
      <c r="B579" s="513"/>
      <c r="C579" s="18" t="s">
        <v>1218</v>
      </c>
      <c r="D579" s="18" t="s">
        <v>1219</v>
      </c>
      <c r="E579" s="107">
        <f>E578+1</f>
        <v>533</v>
      </c>
      <c r="F579" s="20">
        <f>H579</f>
        <v>400</v>
      </c>
      <c r="G579" s="14" t="s">
        <v>1151</v>
      </c>
      <c r="H579" s="65">
        <v>400</v>
      </c>
      <c r="J579" s="174" t="s">
        <v>1163</v>
      </c>
    </row>
    <row r="580" spans="2:11" x14ac:dyDescent="0.25">
      <c r="B580" s="507"/>
      <c r="C580" s="18" t="s">
        <v>1220</v>
      </c>
      <c r="D580" s="18" t="s">
        <v>1221</v>
      </c>
      <c r="E580" s="107">
        <f>E579+1</f>
        <v>534</v>
      </c>
      <c r="F580" s="14">
        <f>H580</f>
        <v>2</v>
      </c>
      <c r="G580" s="14" t="s">
        <v>1155</v>
      </c>
      <c r="H580" s="4">
        <v>2</v>
      </c>
      <c r="J580" s="174" t="s">
        <v>1157</v>
      </c>
    </row>
    <row r="581" spans="2:11" x14ac:dyDescent="0.25">
      <c r="B581" s="268"/>
      <c r="C581" s="48" t="s">
        <v>1222</v>
      </c>
      <c r="D581" s="49"/>
      <c r="E581" s="19"/>
      <c r="F581" s="14"/>
      <c r="G581" s="14"/>
    </row>
    <row r="582" spans="2:11" x14ac:dyDescent="0.25">
      <c r="B582" s="506" t="str">
        <f>"S "&amp;(RIGHT(B578,3)+1)</f>
        <v>S 311</v>
      </c>
      <c r="C582" s="18" t="s">
        <v>1223</v>
      </c>
      <c r="D582" s="18" t="s">
        <v>1224</v>
      </c>
      <c r="E582" s="107">
        <f>E580+1</f>
        <v>535</v>
      </c>
      <c r="F582" s="14">
        <f>H582</f>
        <v>1</v>
      </c>
      <c r="G582" s="14" t="s">
        <v>45</v>
      </c>
      <c r="H582" s="2">
        <v>1</v>
      </c>
    </row>
    <row r="583" spans="2:11" x14ac:dyDescent="0.25">
      <c r="B583" s="513"/>
      <c r="C583" s="18" t="s">
        <v>1225</v>
      </c>
      <c r="D583" s="18" t="s">
        <v>1226</v>
      </c>
      <c r="E583" s="107">
        <f>E582+1</f>
        <v>536</v>
      </c>
      <c r="F583" s="20">
        <f>H583</f>
        <v>170</v>
      </c>
      <c r="G583" s="14" t="s">
        <v>1151</v>
      </c>
      <c r="H583" s="65">
        <v>170</v>
      </c>
      <c r="J583" s="174" t="s">
        <v>1163</v>
      </c>
    </row>
    <row r="584" spans="2:11" x14ac:dyDescent="0.25">
      <c r="B584" s="507"/>
      <c r="C584" s="18" t="s">
        <v>1227</v>
      </c>
      <c r="D584" s="18" t="s">
        <v>1228</v>
      </c>
      <c r="E584" s="107">
        <f>E583+1</f>
        <v>537</v>
      </c>
      <c r="F584" s="14">
        <f>H584</f>
        <v>1</v>
      </c>
      <c r="G584" s="14" t="s">
        <v>1155</v>
      </c>
      <c r="H584" s="4">
        <v>1</v>
      </c>
      <c r="J584" s="174" t="s">
        <v>1157</v>
      </c>
    </row>
    <row r="585" spans="2:11" x14ac:dyDescent="0.25">
      <c r="B585" s="267"/>
      <c r="C585" s="46" t="s">
        <v>1229</v>
      </c>
      <c r="D585" s="47"/>
      <c r="E585" s="105"/>
      <c r="F585" s="14"/>
      <c r="G585" s="14"/>
    </row>
    <row r="586" spans="2:11" x14ac:dyDescent="0.25">
      <c r="B586" s="506" t="str">
        <f>"S "&amp;(RIGHT(B582,3)+1)</f>
        <v>S 312</v>
      </c>
      <c r="C586" s="18" t="s">
        <v>1230</v>
      </c>
      <c r="D586" s="18" t="s">
        <v>1231</v>
      </c>
      <c r="E586" s="107">
        <f>E584+1</f>
        <v>538</v>
      </c>
      <c r="F586" s="14">
        <f>H586</f>
        <v>1</v>
      </c>
      <c r="G586" s="14" t="s">
        <v>45</v>
      </c>
      <c r="H586" s="2">
        <v>1</v>
      </c>
    </row>
    <row r="587" spans="2:11" x14ac:dyDescent="0.25">
      <c r="B587" s="507"/>
      <c r="C587" s="18" t="s">
        <v>1232</v>
      </c>
      <c r="D587" s="18" t="s">
        <v>1233</v>
      </c>
      <c r="E587" s="107">
        <f>E586+1</f>
        <v>539</v>
      </c>
      <c r="F587" s="14">
        <f>H587</f>
        <v>3</v>
      </c>
      <c r="G587" s="14" t="s">
        <v>204</v>
      </c>
      <c r="H587" s="2">
        <v>3</v>
      </c>
      <c r="I587" s="173" t="s">
        <v>1234</v>
      </c>
      <c r="J587" s="174" t="s">
        <v>1235</v>
      </c>
      <c r="K587" s="385" t="s">
        <v>1236</v>
      </c>
    </row>
    <row r="588" spans="2:11" x14ac:dyDescent="0.25">
      <c r="B588" s="267"/>
      <c r="C588" s="46" t="s">
        <v>1237</v>
      </c>
      <c r="D588" s="47"/>
      <c r="E588" s="105"/>
      <c r="F588" s="14"/>
      <c r="G588" s="14"/>
    </row>
    <row r="589" spans="2:11" x14ac:dyDescent="0.25">
      <c r="B589" s="506" t="str">
        <f>"S "&amp;(RIGHT(B586,3)+1)</f>
        <v>S 313</v>
      </c>
      <c r="C589" s="18" t="s">
        <v>1238</v>
      </c>
      <c r="D589" s="18" t="s">
        <v>1239</v>
      </c>
      <c r="E589" s="107">
        <f>E587+1</f>
        <v>540</v>
      </c>
      <c r="F589" s="14">
        <f>H589</f>
        <v>1</v>
      </c>
      <c r="G589" s="14" t="s">
        <v>45</v>
      </c>
      <c r="H589" s="2">
        <v>1</v>
      </c>
    </row>
    <row r="590" spans="2:11" x14ac:dyDescent="0.25">
      <c r="B590" s="507"/>
      <c r="C590" s="18" t="s">
        <v>1240</v>
      </c>
      <c r="D590" s="18" t="s">
        <v>1241</v>
      </c>
      <c r="E590" s="107">
        <f>E589+1</f>
        <v>541</v>
      </c>
      <c r="F590" s="14">
        <f>H590</f>
        <v>0</v>
      </c>
      <c r="G590" s="14" t="s">
        <v>204</v>
      </c>
      <c r="H590" s="2">
        <v>0</v>
      </c>
      <c r="I590" s="173" t="s">
        <v>1242</v>
      </c>
      <c r="J590" s="174" t="s">
        <v>1243</v>
      </c>
      <c r="K590" s="385" t="s">
        <v>1244</v>
      </c>
    </row>
    <row r="591" spans="2:11" x14ac:dyDescent="0.25">
      <c r="B591" s="267"/>
      <c r="C591" s="46" t="s">
        <v>1245</v>
      </c>
      <c r="D591" s="47"/>
      <c r="E591" s="105"/>
      <c r="F591" s="14"/>
      <c r="G591" s="14"/>
    </row>
    <row r="592" spans="2:11" x14ac:dyDescent="0.25">
      <c r="B592" s="506" t="str">
        <f>"S "&amp;(RIGHT(B589,3)+1)</f>
        <v>S 314</v>
      </c>
      <c r="C592" s="18" t="s">
        <v>1246</v>
      </c>
      <c r="D592" s="18" t="s">
        <v>1247</v>
      </c>
      <c r="E592" s="107">
        <f>E590+1</f>
        <v>542</v>
      </c>
      <c r="F592" s="14">
        <f>H592</f>
        <v>1</v>
      </c>
      <c r="G592" s="14" t="s">
        <v>45</v>
      </c>
      <c r="H592" s="2">
        <v>1</v>
      </c>
    </row>
    <row r="593" spans="2:11" x14ac:dyDescent="0.25">
      <c r="B593" s="507"/>
      <c r="C593" s="18" t="s">
        <v>1248</v>
      </c>
      <c r="D593" s="18" t="s">
        <v>1249</v>
      </c>
      <c r="E593" s="107">
        <f>E592+1</f>
        <v>543</v>
      </c>
      <c r="F593" s="14">
        <f>H593</f>
        <v>4</v>
      </c>
      <c r="G593" s="14" t="s">
        <v>204</v>
      </c>
      <c r="H593" s="2">
        <v>4</v>
      </c>
      <c r="I593" s="173" t="s">
        <v>1250</v>
      </c>
      <c r="J593" s="174" t="s">
        <v>1235</v>
      </c>
      <c r="K593" s="385" t="s">
        <v>1251</v>
      </c>
    </row>
    <row r="594" spans="2:11" x14ac:dyDescent="0.25">
      <c r="B594" s="267"/>
      <c r="C594" s="46" t="s">
        <v>1252</v>
      </c>
      <c r="D594" s="47"/>
      <c r="E594" s="105"/>
      <c r="F594" s="14"/>
      <c r="G594" s="14"/>
    </row>
    <row r="595" spans="2:11" x14ac:dyDescent="0.25">
      <c r="B595" s="506" t="str">
        <f>"S "&amp;(RIGHT(B592,3)+1)</f>
        <v>S 315</v>
      </c>
      <c r="C595" s="18" t="s">
        <v>1253</v>
      </c>
      <c r="D595" s="18" t="s">
        <v>1254</v>
      </c>
      <c r="E595" s="107">
        <f>E593+1</f>
        <v>544</v>
      </c>
      <c r="F595" s="14">
        <f t="shared" ref="F595:F604" si="38">H595</f>
        <v>1</v>
      </c>
      <c r="G595" s="14" t="s">
        <v>45</v>
      </c>
      <c r="H595" s="2">
        <v>1</v>
      </c>
    </row>
    <row r="596" spans="2:11" ht="24" customHeight="1" x14ac:dyDescent="0.25">
      <c r="B596" s="513"/>
      <c r="C596" s="18" t="s">
        <v>1255</v>
      </c>
      <c r="D596" s="18" t="s">
        <v>1256</v>
      </c>
      <c r="E596" s="107">
        <f t="shared" ref="E596:E604" si="39">E595+1</f>
        <v>545</v>
      </c>
      <c r="F596" s="20">
        <f t="shared" si="38"/>
        <v>8000</v>
      </c>
      <c r="G596" s="14" t="s">
        <v>1151</v>
      </c>
      <c r="H596" s="9">
        <v>8000</v>
      </c>
      <c r="I596" s="173" t="s">
        <v>1257</v>
      </c>
      <c r="J596" s="174" t="s">
        <v>1163</v>
      </c>
    </row>
    <row r="597" spans="2:11" x14ac:dyDescent="0.25">
      <c r="B597" s="513"/>
      <c r="C597" s="18" t="s">
        <v>1258</v>
      </c>
      <c r="D597" s="18" t="s">
        <v>1259</v>
      </c>
      <c r="E597" s="107">
        <f t="shared" si="39"/>
        <v>546</v>
      </c>
      <c r="F597" s="14">
        <f t="shared" si="38"/>
        <v>45</v>
      </c>
      <c r="G597" s="14" t="s">
        <v>1155</v>
      </c>
      <c r="H597" s="4">
        <v>45</v>
      </c>
      <c r="J597" s="174" t="s">
        <v>1260</v>
      </c>
    </row>
    <row r="598" spans="2:11" x14ac:dyDescent="0.25">
      <c r="B598" s="513"/>
      <c r="C598" s="18" t="s">
        <v>1261</v>
      </c>
      <c r="D598" s="18" t="s">
        <v>1262</v>
      </c>
      <c r="E598" s="107">
        <f t="shared" si="39"/>
        <v>547</v>
      </c>
      <c r="F598" s="14">
        <f t="shared" si="38"/>
        <v>1</v>
      </c>
      <c r="G598" s="14" t="s">
        <v>45</v>
      </c>
      <c r="H598" s="2">
        <v>1</v>
      </c>
      <c r="J598" s="389" t="s">
        <v>1263</v>
      </c>
      <c r="K598" s="385" t="s">
        <v>1264</v>
      </c>
    </row>
    <row r="599" spans="2:11" x14ac:dyDescent="0.25">
      <c r="B599" s="507"/>
      <c r="C599" s="18" t="s">
        <v>1265</v>
      </c>
      <c r="D599" s="18" t="s">
        <v>1266</v>
      </c>
      <c r="E599" s="107">
        <f t="shared" si="39"/>
        <v>548</v>
      </c>
      <c r="F599" s="14">
        <f t="shared" si="38"/>
        <v>0</v>
      </c>
      <c r="G599" s="14" t="s">
        <v>45</v>
      </c>
      <c r="H599" s="2">
        <v>0</v>
      </c>
      <c r="J599" s="389" t="s">
        <v>1267</v>
      </c>
      <c r="K599" s="385" t="s">
        <v>1264</v>
      </c>
    </row>
    <row r="600" spans="2:11" ht="24" customHeight="1" x14ac:dyDescent="0.25">
      <c r="B600" s="506" t="str">
        <f>"S "&amp;(RIGHT(B595,3)+1)</f>
        <v>S 316</v>
      </c>
      <c r="C600" s="18" t="s">
        <v>1268</v>
      </c>
      <c r="D600" s="18" t="s">
        <v>1269</v>
      </c>
      <c r="E600" s="107">
        <f t="shared" si="39"/>
        <v>549</v>
      </c>
      <c r="F600" s="14">
        <f t="shared" si="38"/>
        <v>4</v>
      </c>
      <c r="G600" s="14" t="s">
        <v>1048</v>
      </c>
      <c r="H600" s="2">
        <v>4</v>
      </c>
      <c r="I600" s="173" t="s">
        <v>1270</v>
      </c>
      <c r="J600" s="174" t="s">
        <v>1271</v>
      </c>
    </row>
    <row r="601" spans="2:11" ht="24" customHeight="1" x14ac:dyDescent="0.25">
      <c r="B601" s="513"/>
      <c r="C601" s="18" t="s">
        <v>1272</v>
      </c>
      <c r="D601" s="18" t="s">
        <v>1273</v>
      </c>
      <c r="E601" s="107">
        <f t="shared" si="39"/>
        <v>550</v>
      </c>
      <c r="F601" s="14">
        <f t="shared" si="38"/>
        <v>4</v>
      </c>
      <c r="G601" s="14" t="s">
        <v>1048</v>
      </c>
      <c r="H601" s="2">
        <v>4</v>
      </c>
      <c r="I601" s="173" t="s">
        <v>1270</v>
      </c>
      <c r="J601" s="174" t="s">
        <v>1274</v>
      </c>
      <c r="K601" s="385" t="s">
        <v>1275</v>
      </c>
    </row>
    <row r="602" spans="2:11" x14ac:dyDescent="0.25">
      <c r="B602" s="513"/>
      <c r="C602" s="18" t="s">
        <v>1276</v>
      </c>
      <c r="D602" s="18" t="s">
        <v>1277</v>
      </c>
      <c r="E602" s="107">
        <f t="shared" si="39"/>
        <v>551</v>
      </c>
      <c r="F602" s="14">
        <f t="shared" si="38"/>
        <v>0</v>
      </c>
      <c r="G602" s="14" t="s">
        <v>1048</v>
      </c>
      <c r="H602" s="2">
        <v>0</v>
      </c>
      <c r="J602" s="174" t="s">
        <v>1274</v>
      </c>
      <c r="K602" s="385" t="s">
        <v>1275</v>
      </c>
    </row>
    <row r="603" spans="2:11" x14ac:dyDescent="0.25">
      <c r="B603" s="513"/>
      <c r="C603" s="18" t="s">
        <v>1278</v>
      </c>
      <c r="D603" s="18" t="s">
        <v>1279</v>
      </c>
      <c r="E603" s="107">
        <f t="shared" si="39"/>
        <v>552</v>
      </c>
      <c r="F603" s="14">
        <f t="shared" si="38"/>
        <v>1</v>
      </c>
      <c r="G603" s="14" t="s">
        <v>45</v>
      </c>
      <c r="H603" s="2">
        <v>1</v>
      </c>
      <c r="J603" s="389">
        <v>0</v>
      </c>
      <c r="K603" s="385" t="s">
        <v>1275</v>
      </c>
    </row>
    <row r="604" spans="2:11" x14ac:dyDescent="0.25">
      <c r="B604" s="507"/>
      <c r="C604" s="18" t="s">
        <v>1280</v>
      </c>
      <c r="D604" s="18" t="s">
        <v>1281</v>
      </c>
      <c r="E604" s="107">
        <f t="shared" si="39"/>
        <v>553</v>
      </c>
      <c r="F604" s="14">
        <f t="shared" si="38"/>
        <v>2</v>
      </c>
      <c r="G604" s="14" t="s">
        <v>45</v>
      </c>
      <c r="H604" s="2">
        <v>2</v>
      </c>
      <c r="J604" s="389">
        <v>1</v>
      </c>
      <c r="K604" s="385" t="s">
        <v>1282</v>
      </c>
    </row>
    <row r="605" spans="2:11" x14ac:dyDescent="0.25">
      <c r="B605" s="267"/>
      <c r="C605" s="46" t="s">
        <v>1283</v>
      </c>
      <c r="D605" s="47"/>
      <c r="E605" s="105"/>
      <c r="F605" s="14"/>
      <c r="G605" s="14"/>
      <c r="J605" s="389">
        <v>2</v>
      </c>
    </row>
    <row r="606" spans="2:11" ht="31.5" customHeight="1" x14ac:dyDescent="0.25">
      <c r="B606" s="506" t="str">
        <f>"S "&amp;(RIGHT(B600,3)+1)</f>
        <v>S 317</v>
      </c>
      <c r="C606" s="18" t="s">
        <v>1284</v>
      </c>
      <c r="D606" s="18" t="s">
        <v>1285</v>
      </c>
      <c r="E606" s="107">
        <f>E604+1</f>
        <v>554</v>
      </c>
      <c r="F606" s="14">
        <f>H606</f>
        <v>3690</v>
      </c>
      <c r="G606" s="14" t="s">
        <v>204</v>
      </c>
      <c r="H606" s="4">
        <v>3690</v>
      </c>
      <c r="I606" s="173" t="s">
        <v>1286</v>
      </c>
      <c r="J606" s="174" t="s">
        <v>1287</v>
      </c>
    </row>
    <row r="607" spans="2:11" x14ac:dyDescent="0.25">
      <c r="B607" s="513"/>
      <c r="C607" s="60" t="s">
        <v>1288</v>
      </c>
      <c r="D607" s="60" t="s">
        <v>1289</v>
      </c>
      <c r="E607" s="112">
        <f>E606+1</f>
        <v>555</v>
      </c>
      <c r="F607" s="14">
        <f>H607</f>
        <v>1</v>
      </c>
      <c r="G607" s="14" t="s">
        <v>45</v>
      </c>
      <c r="H607" s="2">
        <v>1</v>
      </c>
      <c r="K607" s="385" t="s">
        <v>1290</v>
      </c>
    </row>
    <row r="608" spans="2:11" x14ac:dyDescent="0.25">
      <c r="B608" s="267"/>
      <c r="C608" s="48" t="s">
        <v>1291</v>
      </c>
      <c r="D608" s="18"/>
      <c r="E608" s="136"/>
      <c r="F608" s="14"/>
      <c r="G608" s="14"/>
      <c r="J608" s="174" t="s">
        <v>1292</v>
      </c>
    </row>
    <row r="609" spans="2:10" x14ac:dyDescent="0.25">
      <c r="B609" s="267"/>
      <c r="C609" s="48" t="s">
        <v>1293</v>
      </c>
      <c r="D609" s="18"/>
      <c r="E609" s="136"/>
      <c r="F609" s="14"/>
      <c r="G609" s="14"/>
      <c r="J609" s="174" t="s">
        <v>1292</v>
      </c>
    </row>
    <row r="610" spans="2:10" x14ac:dyDescent="0.25">
      <c r="B610" s="508" t="str">
        <f>"S "&amp;(RIGHT(B606,3)+1)</f>
        <v>S 318</v>
      </c>
      <c r="C610" s="18" t="s">
        <v>1294</v>
      </c>
      <c r="D610" s="18" t="s">
        <v>1295</v>
      </c>
      <c r="E610" s="196">
        <f>E607+1</f>
        <v>556</v>
      </c>
      <c r="F610" s="183">
        <f t="shared" ref="F610:F623" si="40">H610</f>
        <v>213</v>
      </c>
      <c r="G610" s="183" t="s">
        <v>204</v>
      </c>
      <c r="H610" s="188">
        <v>213</v>
      </c>
      <c r="J610" s="174" t="s">
        <v>1292</v>
      </c>
    </row>
    <row r="611" spans="2:10" x14ac:dyDescent="0.25">
      <c r="B611" s="508"/>
      <c r="C611" s="18" t="s">
        <v>1296</v>
      </c>
      <c r="D611" s="18" t="s">
        <v>1297</v>
      </c>
      <c r="E611" s="196">
        <f t="shared" ref="E611:E623" si="41">E610+1</f>
        <v>557</v>
      </c>
      <c r="F611" s="183">
        <f t="shared" si="40"/>
        <v>213</v>
      </c>
      <c r="G611" s="183" t="s">
        <v>204</v>
      </c>
      <c r="H611" s="188">
        <v>213</v>
      </c>
      <c r="J611" s="174" t="s">
        <v>1292</v>
      </c>
    </row>
    <row r="612" spans="2:10" x14ac:dyDescent="0.25">
      <c r="B612" s="508"/>
      <c r="C612" s="18" t="s">
        <v>1298</v>
      </c>
      <c r="D612" s="18" t="s">
        <v>1299</v>
      </c>
      <c r="E612" s="196">
        <f t="shared" si="41"/>
        <v>558</v>
      </c>
      <c r="F612" s="183">
        <f t="shared" si="40"/>
        <v>0</v>
      </c>
      <c r="G612" s="183" t="s">
        <v>204</v>
      </c>
      <c r="H612" s="188">
        <v>0</v>
      </c>
      <c r="J612" s="174" t="s">
        <v>1292</v>
      </c>
    </row>
    <row r="613" spans="2:10" x14ac:dyDescent="0.25">
      <c r="B613" s="267" t="str">
        <f>"S "&amp;(RIGHT(B610,3)+1)</f>
        <v>S 319</v>
      </c>
      <c r="C613" s="18" t="s">
        <v>1300</v>
      </c>
      <c r="D613" s="18" t="s">
        <v>1301</v>
      </c>
      <c r="E613" s="196">
        <f t="shared" si="41"/>
        <v>559</v>
      </c>
      <c r="F613" s="183">
        <f t="shared" si="40"/>
        <v>17</v>
      </c>
      <c r="G613" s="183" t="s">
        <v>1302</v>
      </c>
      <c r="H613" s="188">
        <v>17</v>
      </c>
      <c r="J613" s="174" t="s">
        <v>1292</v>
      </c>
    </row>
    <row r="614" spans="2:10" x14ac:dyDescent="0.25">
      <c r="B614" s="508" t="str">
        <f>"S "&amp;(RIGHT(B613,3)+1)</f>
        <v>S 320</v>
      </c>
      <c r="C614" s="18" t="s">
        <v>1303</v>
      </c>
      <c r="D614" s="18" t="s">
        <v>1304</v>
      </c>
      <c r="E614" s="196">
        <f t="shared" si="41"/>
        <v>560</v>
      </c>
      <c r="F614" s="183">
        <f t="shared" si="40"/>
        <v>33</v>
      </c>
      <c r="G614" s="183" t="s">
        <v>204</v>
      </c>
      <c r="H614" s="188">
        <v>33</v>
      </c>
      <c r="J614" s="174" t="s">
        <v>1292</v>
      </c>
    </row>
    <row r="615" spans="2:10" x14ac:dyDescent="0.25">
      <c r="B615" s="508"/>
      <c r="C615" s="18" t="s">
        <v>1305</v>
      </c>
      <c r="D615" s="18" t="s">
        <v>1306</v>
      </c>
      <c r="E615" s="196">
        <f t="shared" si="41"/>
        <v>561</v>
      </c>
      <c r="F615" s="183">
        <f t="shared" si="40"/>
        <v>27</v>
      </c>
      <c r="G615" s="183" t="s">
        <v>204</v>
      </c>
      <c r="H615" s="188">
        <v>27</v>
      </c>
      <c r="J615" s="174" t="s">
        <v>1292</v>
      </c>
    </row>
    <row r="616" spans="2:10" x14ac:dyDescent="0.25">
      <c r="B616" s="508"/>
      <c r="C616" s="18" t="s">
        <v>1307</v>
      </c>
      <c r="D616" s="18" t="s">
        <v>1308</v>
      </c>
      <c r="E616" s="196">
        <f t="shared" si="41"/>
        <v>562</v>
      </c>
      <c r="F616" s="183">
        <f t="shared" si="40"/>
        <v>6</v>
      </c>
      <c r="G616" s="183" t="s">
        <v>204</v>
      </c>
      <c r="H616" s="188">
        <v>6</v>
      </c>
      <c r="J616" s="174" t="s">
        <v>1292</v>
      </c>
    </row>
    <row r="617" spans="2:10" x14ac:dyDescent="0.25">
      <c r="B617" s="506" t="str">
        <f>"S "&amp;(RIGHT(B614,3)+1)</f>
        <v>S 321</v>
      </c>
      <c r="C617" s="18" t="s">
        <v>1309</v>
      </c>
      <c r="D617" s="18" t="s">
        <v>1310</v>
      </c>
      <c r="E617" s="196">
        <f t="shared" si="41"/>
        <v>563</v>
      </c>
      <c r="F617" s="183">
        <f t="shared" si="40"/>
        <v>125</v>
      </c>
      <c r="G617" s="183" t="s">
        <v>1311</v>
      </c>
      <c r="H617" s="188">
        <v>125</v>
      </c>
      <c r="J617" s="174" t="s">
        <v>1292</v>
      </c>
    </row>
    <row r="618" spans="2:10" x14ac:dyDescent="0.25">
      <c r="B618" s="513"/>
      <c r="C618" s="18" t="s">
        <v>1312</v>
      </c>
      <c r="D618" s="18" t="s">
        <v>1313</v>
      </c>
      <c r="E618" s="196">
        <f t="shared" si="41"/>
        <v>564</v>
      </c>
      <c r="F618" s="183">
        <f t="shared" si="40"/>
        <v>118</v>
      </c>
      <c r="G618" s="183" t="s">
        <v>1311</v>
      </c>
      <c r="H618" s="188">
        <v>118</v>
      </c>
      <c r="J618" s="174" t="s">
        <v>1292</v>
      </c>
    </row>
    <row r="619" spans="2:10" x14ac:dyDescent="0.25">
      <c r="B619" s="513"/>
      <c r="C619" s="18" t="s">
        <v>1314</v>
      </c>
      <c r="D619" s="18" t="s">
        <v>1315</v>
      </c>
      <c r="E619" s="196">
        <f t="shared" si="41"/>
        <v>565</v>
      </c>
      <c r="F619" s="183">
        <f t="shared" si="40"/>
        <v>6</v>
      </c>
      <c r="G619" s="183" t="s">
        <v>1311</v>
      </c>
      <c r="H619" s="188">
        <v>6</v>
      </c>
      <c r="J619" s="174" t="s">
        <v>1292</v>
      </c>
    </row>
    <row r="620" spans="2:10" x14ac:dyDescent="0.25">
      <c r="B620" s="513"/>
      <c r="C620" s="18" t="s">
        <v>1316</v>
      </c>
      <c r="D620" s="18" t="s">
        <v>1317</v>
      </c>
      <c r="E620" s="196">
        <f t="shared" si="41"/>
        <v>566</v>
      </c>
      <c r="F620" s="183">
        <f t="shared" si="40"/>
        <v>0</v>
      </c>
      <c r="G620" s="183" t="s">
        <v>1311</v>
      </c>
      <c r="H620" s="188">
        <v>0</v>
      </c>
      <c r="J620" s="174" t="s">
        <v>1292</v>
      </c>
    </row>
    <row r="621" spans="2:10" x14ac:dyDescent="0.25">
      <c r="B621" s="507"/>
      <c r="C621" s="18" t="s">
        <v>1318</v>
      </c>
      <c r="D621" s="18" t="s">
        <v>1319</v>
      </c>
      <c r="E621" s="196">
        <f t="shared" si="41"/>
        <v>567</v>
      </c>
      <c r="F621" s="183">
        <f t="shared" si="40"/>
        <v>1</v>
      </c>
      <c r="G621" s="183" t="s">
        <v>1311</v>
      </c>
      <c r="H621" s="188">
        <v>1</v>
      </c>
      <c r="J621" s="174" t="s">
        <v>1292</v>
      </c>
    </row>
    <row r="622" spans="2:10" x14ac:dyDescent="0.25">
      <c r="B622" s="506" t="str">
        <f>"S "&amp;(RIGHT(B617,3)+1)</f>
        <v>S 322</v>
      </c>
      <c r="C622" s="18" t="s">
        <v>1320</v>
      </c>
      <c r="D622" s="18" t="s">
        <v>1321</v>
      </c>
      <c r="E622" s="196">
        <f t="shared" si="41"/>
        <v>568</v>
      </c>
      <c r="F622" s="183">
        <f t="shared" si="40"/>
        <v>16</v>
      </c>
      <c r="G622" s="183" t="s">
        <v>1076</v>
      </c>
      <c r="H622" s="188">
        <v>16</v>
      </c>
      <c r="J622" s="174" t="s">
        <v>1292</v>
      </c>
    </row>
    <row r="623" spans="2:10" x14ac:dyDescent="0.25">
      <c r="B623" s="507"/>
      <c r="C623" s="18" t="s">
        <v>1322</v>
      </c>
      <c r="D623" s="18" t="s">
        <v>1323</v>
      </c>
      <c r="E623" s="196">
        <f t="shared" si="41"/>
        <v>569</v>
      </c>
      <c r="F623" s="183">
        <f t="shared" si="40"/>
        <v>16</v>
      </c>
      <c r="G623" s="183" t="s">
        <v>1076</v>
      </c>
      <c r="H623" s="188">
        <v>16</v>
      </c>
      <c r="J623" s="174" t="s">
        <v>1292</v>
      </c>
    </row>
    <row r="624" spans="2:10" x14ac:dyDescent="0.25">
      <c r="B624" s="267"/>
      <c r="C624" s="48" t="s">
        <v>1324</v>
      </c>
      <c r="D624" s="18"/>
      <c r="E624" s="136"/>
      <c r="F624" s="14"/>
      <c r="G624" s="14"/>
      <c r="J624" s="174" t="s">
        <v>1292</v>
      </c>
    </row>
    <row r="625" spans="2:10" x14ac:dyDescent="0.25">
      <c r="B625" s="506" t="str">
        <f>"S "&amp;(RIGHT(B622,3)+1)</f>
        <v>S 323</v>
      </c>
      <c r="C625" s="18" t="s">
        <v>1325</v>
      </c>
      <c r="D625" s="18" t="s">
        <v>1326</v>
      </c>
      <c r="E625" s="196">
        <f>E623+1</f>
        <v>570</v>
      </c>
      <c r="F625" s="183">
        <f t="shared" ref="F625:F644" si="42">H625</f>
        <v>32</v>
      </c>
      <c r="G625" s="183" t="s">
        <v>204</v>
      </c>
      <c r="H625" s="188">
        <v>32</v>
      </c>
      <c r="J625" s="174" t="s">
        <v>1292</v>
      </c>
    </row>
    <row r="626" spans="2:10" x14ac:dyDescent="0.25">
      <c r="B626" s="507"/>
      <c r="C626" s="18" t="s">
        <v>1327</v>
      </c>
      <c r="D626" s="18" t="s">
        <v>1328</v>
      </c>
      <c r="E626" s="196">
        <f t="shared" ref="E626:E644" si="43">E625+1</f>
        <v>571</v>
      </c>
      <c r="F626" s="183">
        <f t="shared" si="42"/>
        <v>33</v>
      </c>
      <c r="G626" s="183" t="s">
        <v>204</v>
      </c>
      <c r="H626" s="188">
        <v>33</v>
      </c>
      <c r="J626" s="174" t="s">
        <v>1292</v>
      </c>
    </row>
    <row r="627" spans="2:10" x14ac:dyDescent="0.25">
      <c r="B627" s="506" t="str">
        <f>"S "&amp;(RIGHT(B625,3)+1)</f>
        <v>S 324</v>
      </c>
      <c r="C627" s="18" t="s">
        <v>1329</v>
      </c>
      <c r="D627" s="18" t="s">
        <v>1330</v>
      </c>
      <c r="E627" s="196">
        <f t="shared" si="43"/>
        <v>572</v>
      </c>
      <c r="F627" s="183">
        <f t="shared" si="42"/>
        <v>17</v>
      </c>
      <c r="G627" s="183" t="s">
        <v>1302</v>
      </c>
      <c r="H627" s="188">
        <v>17</v>
      </c>
      <c r="J627" s="174" t="s">
        <v>1292</v>
      </c>
    </row>
    <row r="628" spans="2:10" ht="31.5" customHeight="1" x14ac:dyDescent="0.25">
      <c r="B628" s="507"/>
      <c r="C628" s="18" t="s">
        <v>1331</v>
      </c>
      <c r="D628" s="18" t="s">
        <v>1332</v>
      </c>
      <c r="E628" s="196">
        <f t="shared" si="43"/>
        <v>573</v>
      </c>
      <c r="F628" s="183">
        <f t="shared" si="42"/>
        <v>17</v>
      </c>
      <c r="G628" s="183" t="s">
        <v>1302</v>
      </c>
      <c r="H628" s="188">
        <v>17</v>
      </c>
      <c r="J628" s="174" t="s">
        <v>1292</v>
      </c>
    </row>
    <row r="629" spans="2:10" x14ac:dyDescent="0.25">
      <c r="B629" s="506" t="str">
        <f>"S "&amp;(RIGHT(B627,3)+1)</f>
        <v>S 325</v>
      </c>
      <c r="C629" s="18" t="s">
        <v>1333</v>
      </c>
      <c r="D629" s="18" t="s">
        <v>1334</v>
      </c>
      <c r="E629" s="196">
        <f t="shared" si="43"/>
        <v>574</v>
      </c>
      <c r="F629" s="183">
        <f t="shared" si="42"/>
        <v>18</v>
      </c>
      <c r="G629" s="183" t="s">
        <v>204</v>
      </c>
      <c r="H629" s="188">
        <v>18</v>
      </c>
      <c r="J629" s="174" t="s">
        <v>1292</v>
      </c>
    </row>
    <row r="630" spans="2:10" ht="31.5" customHeight="1" x14ac:dyDescent="0.25">
      <c r="B630" s="513"/>
      <c r="C630" s="18" t="s">
        <v>1335</v>
      </c>
      <c r="D630" s="18" t="s">
        <v>1336</v>
      </c>
      <c r="E630" s="196">
        <f t="shared" si="43"/>
        <v>575</v>
      </c>
      <c r="F630" s="183">
        <f t="shared" si="42"/>
        <v>12</v>
      </c>
      <c r="G630" s="183" t="s">
        <v>204</v>
      </c>
      <c r="H630" s="188">
        <v>12</v>
      </c>
      <c r="J630" s="174" t="s">
        <v>1292</v>
      </c>
    </row>
    <row r="631" spans="2:10" x14ac:dyDescent="0.25">
      <c r="B631" s="513"/>
      <c r="C631" s="18" t="s">
        <v>1337</v>
      </c>
      <c r="D631" s="18" t="s">
        <v>1338</v>
      </c>
      <c r="E631" s="196">
        <f t="shared" si="43"/>
        <v>576</v>
      </c>
      <c r="F631" s="183">
        <f t="shared" si="42"/>
        <v>5</v>
      </c>
      <c r="G631" s="183" t="s">
        <v>204</v>
      </c>
      <c r="H631" s="188">
        <v>5</v>
      </c>
      <c r="J631" s="174" t="s">
        <v>1292</v>
      </c>
    </row>
    <row r="632" spans="2:10" ht="42" customHeight="1" x14ac:dyDescent="0.25">
      <c r="B632" s="507"/>
      <c r="C632" s="18" t="s">
        <v>1339</v>
      </c>
      <c r="D632" s="18" t="s">
        <v>1340</v>
      </c>
      <c r="E632" s="196">
        <f t="shared" si="43"/>
        <v>577</v>
      </c>
      <c r="F632" s="183">
        <f t="shared" si="42"/>
        <v>33</v>
      </c>
      <c r="G632" s="183" t="s">
        <v>204</v>
      </c>
      <c r="H632" s="188">
        <v>33</v>
      </c>
      <c r="J632" s="174" t="s">
        <v>1292</v>
      </c>
    </row>
    <row r="633" spans="2:10" ht="42" customHeight="1" x14ac:dyDescent="0.25">
      <c r="B633" s="506" t="str">
        <f>"S "&amp;(RIGHT(B629,3)+1)</f>
        <v>S 326</v>
      </c>
      <c r="C633" s="18" t="s">
        <v>1341</v>
      </c>
      <c r="D633" s="18" t="s">
        <v>1342</v>
      </c>
      <c r="E633" s="196">
        <f t="shared" si="43"/>
        <v>578</v>
      </c>
      <c r="F633" s="183">
        <f t="shared" si="42"/>
        <v>120</v>
      </c>
      <c r="G633" s="183" t="s">
        <v>1311</v>
      </c>
      <c r="H633" s="188">
        <v>120</v>
      </c>
      <c r="J633" s="174" t="s">
        <v>1292</v>
      </c>
    </row>
    <row r="634" spans="2:10" ht="31.5" customHeight="1" x14ac:dyDescent="0.25">
      <c r="B634" s="513"/>
      <c r="C634" s="18" t="s">
        <v>1343</v>
      </c>
      <c r="D634" s="18" t="s">
        <v>1344</v>
      </c>
      <c r="E634" s="196">
        <f t="shared" si="43"/>
        <v>579</v>
      </c>
      <c r="F634" s="183">
        <f t="shared" si="42"/>
        <v>28</v>
      </c>
      <c r="G634" s="183" t="s">
        <v>1311</v>
      </c>
      <c r="H634" s="188">
        <v>28</v>
      </c>
      <c r="J634" s="174" t="s">
        <v>1292</v>
      </c>
    </row>
    <row r="635" spans="2:10" ht="52.5" customHeight="1" x14ac:dyDescent="0.25">
      <c r="B635" s="513"/>
      <c r="C635" s="18" t="s">
        <v>1345</v>
      </c>
      <c r="D635" s="18" t="s">
        <v>1346</v>
      </c>
      <c r="E635" s="196">
        <f t="shared" si="43"/>
        <v>580</v>
      </c>
      <c r="F635" s="183">
        <f t="shared" si="42"/>
        <v>7</v>
      </c>
      <c r="G635" s="183" t="s">
        <v>1311</v>
      </c>
      <c r="H635" s="188">
        <v>7</v>
      </c>
      <c r="J635" s="174" t="s">
        <v>1292</v>
      </c>
    </row>
    <row r="636" spans="2:10" ht="31.5" customHeight="1" x14ac:dyDescent="0.25">
      <c r="B636" s="507"/>
      <c r="C636" s="18" t="s">
        <v>1347</v>
      </c>
      <c r="D636" s="18" t="s">
        <v>1348</v>
      </c>
      <c r="E636" s="196">
        <f t="shared" si="43"/>
        <v>581</v>
      </c>
      <c r="F636" s="183">
        <f t="shared" si="42"/>
        <v>101</v>
      </c>
      <c r="G636" s="183" t="s">
        <v>1311</v>
      </c>
      <c r="H636" s="188">
        <v>101</v>
      </c>
      <c r="J636" s="174" t="s">
        <v>1292</v>
      </c>
    </row>
    <row r="637" spans="2:10" ht="31.5" customHeight="1" x14ac:dyDescent="0.25">
      <c r="B637" s="506" t="str">
        <f>"S "&amp;(RIGHT(B633,3)+1)</f>
        <v>S 327</v>
      </c>
      <c r="C637" s="18" t="s">
        <v>1349</v>
      </c>
      <c r="D637" s="18" t="s">
        <v>1350</v>
      </c>
      <c r="E637" s="196">
        <f t="shared" si="43"/>
        <v>582</v>
      </c>
      <c r="F637" s="183">
        <f t="shared" si="42"/>
        <v>15</v>
      </c>
      <c r="G637" s="183" t="s">
        <v>1076</v>
      </c>
      <c r="H637" s="188">
        <v>15</v>
      </c>
      <c r="J637" s="174" t="s">
        <v>1292</v>
      </c>
    </row>
    <row r="638" spans="2:10" ht="42" customHeight="1" x14ac:dyDescent="0.25">
      <c r="B638" s="513"/>
      <c r="C638" s="18" t="s">
        <v>1351</v>
      </c>
      <c r="D638" s="18" t="s">
        <v>1352</v>
      </c>
      <c r="E638" s="196">
        <f t="shared" si="43"/>
        <v>583</v>
      </c>
      <c r="F638" s="183">
        <f t="shared" si="42"/>
        <v>16</v>
      </c>
      <c r="G638" s="183" t="s">
        <v>1076</v>
      </c>
      <c r="H638" s="188">
        <v>16</v>
      </c>
      <c r="J638" s="174" t="s">
        <v>1292</v>
      </c>
    </row>
    <row r="639" spans="2:10" ht="31.5" customHeight="1" x14ac:dyDescent="0.25">
      <c r="B639" s="513"/>
      <c r="C639" s="18" t="s">
        <v>1353</v>
      </c>
      <c r="D639" s="18" t="s">
        <v>1354</v>
      </c>
      <c r="E639" s="196">
        <f t="shared" si="43"/>
        <v>584</v>
      </c>
      <c r="F639" s="183">
        <f t="shared" si="42"/>
        <v>16</v>
      </c>
      <c r="G639" s="183" t="s">
        <v>1076</v>
      </c>
      <c r="H639" s="188">
        <v>16</v>
      </c>
      <c r="J639" s="174" t="s">
        <v>1292</v>
      </c>
    </row>
    <row r="640" spans="2:10" ht="42" customHeight="1" x14ac:dyDescent="0.25">
      <c r="B640" s="513"/>
      <c r="C640" s="18" t="s">
        <v>1355</v>
      </c>
      <c r="D640" s="18" t="s">
        <v>1356</v>
      </c>
      <c r="E640" s="196">
        <f t="shared" si="43"/>
        <v>585</v>
      </c>
      <c r="F640" s="183">
        <f t="shared" si="42"/>
        <v>16</v>
      </c>
      <c r="G640" s="183" t="s">
        <v>1076</v>
      </c>
      <c r="H640" s="188">
        <v>16</v>
      </c>
      <c r="J640" s="174" t="s">
        <v>1292</v>
      </c>
    </row>
    <row r="641" spans="2:10" ht="52.5" customHeight="1" x14ac:dyDescent="0.25">
      <c r="B641" s="513"/>
      <c r="C641" s="18" t="s">
        <v>1357</v>
      </c>
      <c r="D641" s="18" t="s">
        <v>1358</v>
      </c>
      <c r="E641" s="196">
        <f t="shared" si="43"/>
        <v>586</v>
      </c>
      <c r="F641" s="183">
        <f t="shared" si="42"/>
        <v>5</v>
      </c>
      <c r="G641" s="183" t="s">
        <v>1076</v>
      </c>
      <c r="H641" s="188">
        <v>5</v>
      </c>
      <c r="J641" s="174" t="s">
        <v>1292</v>
      </c>
    </row>
    <row r="642" spans="2:10" ht="42" customHeight="1" x14ac:dyDescent="0.25">
      <c r="B642" s="513"/>
      <c r="C642" s="18" t="s">
        <v>1359</v>
      </c>
      <c r="D642" s="18" t="s">
        <v>1360</v>
      </c>
      <c r="E642" s="196">
        <f t="shared" si="43"/>
        <v>587</v>
      </c>
      <c r="F642" s="183">
        <f t="shared" si="42"/>
        <v>13</v>
      </c>
      <c r="G642" s="183" t="s">
        <v>1076</v>
      </c>
      <c r="H642" s="188">
        <v>13</v>
      </c>
      <c r="J642" s="174" t="s">
        <v>1292</v>
      </c>
    </row>
    <row r="643" spans="2:10" ht="31.5" customHeight="1" x14ac:dyDescent="0.25">
      <c r="B643" s="513"/>
      <c r="C643" s="18" t="s">
        <v>1361</v>
      </c>
      <c r="D643" s="18" t="s">
        <v>1362</v>
      </c>
      <c r="E643" s="196">
        <f t="shared" si="43"/>
        <v>588</v>
      </c>
      <c r="F643" s="183">
        <f t="shared" si="42"/>
        <v>13</v>
      </c>
      <c r="G643" s="183" t="s">
        <v>1076</v>
      </c>
      <c r="H643" s="188">
        <v>13</v>
      </c>
      <c r="J643" s="174" t="s">
        <v>1292</v>
      </c>
    </row>
    <row r="644" spans="2:10" ht="52.5" customHeight="1" x14ac:dyDescent="0.25">
      <c r="B644" s="507"/>
      <c r="C644" s="18" t="s">
        <v>1363</v>
      </c>
      <c r="D644" s="18" t="s">
        <v>1364</v>
      </c>
      <c r="E644" s="196">
        <f t="shared" si="43"/>
        <v>589</v>
      </c>
      <c r="F644" s="183">
        <f t="shared" si="42"/>
        <v>4</v>
      </c>
      <c r="G644" s="183" t="s">
        <v>1076</v>
      </c>
      <c r="H644" s="188">
        <v>4</v>
      </c>
      <c r="J644" s="174" t="s">
        <v>1292</v>
      </c>
    </row>
    <row r="645" spans="2:10" x14ac:dyDescent="0.25">
      <c r="B645" s="267"/>
      <c r="C645" s="48" t="s">
        <v>1365</v>
      </c>
      <c r="D645" s="18"/>
      <c r="E645" s="136"/>
      <c r="F645" s="14"/>
      <c r="G645" s="14"/>
      <c r="J645" s="174" t="s">
        <v>1292</v>
      </c>
    </row>
    <row r="646" spans="2:10" x14ac:dyDescent="0.25">
      <c r="B646" s="506" t="str">
        <f>"S "&amp;(RIGHT(B637,3)+1)</f>
        <v>S 328</v>
      </c>
      <c r="C646" s="18" t="s">
        <v>1366</v>
      </c>
      <c r="D646" s="18" t="s">
        <v>1367</v>
      </c>
      <c r="E646" s="196">
        <f>E644+1</f>
        <v>590</v>
      </c>
      <c r="F646" s="183">
        <f t="shared" ref="F646:F657" si="44">H646</f>
        <v>426</v>
      </c>
      <c r="G646" s="183" t="s">
        <v>1368</v>
      </c>
      <c r="H646" s="188">
        <v>426</v>
      </c>
      <c r="J646" s="174" t="s">
        <v>1292</v>
      </c>
    </row>
    <row r="647" spans="2:10" x14ac:dyDescent="0.25">
      <c r="B647" s="507"/>
      <c r="C647" s="18" t="s">
        <v>1369</v>
      </c>
      <c r="D647" s="18" t="s">
        <v>1370</v>
      </c>
      <c r="E647" s="196">
        <f t="shared" ref="E647:E657" si="45">E646+1</f>
        <v>591</v>
      </c>
      <c r="F647" s="183">
        <f t="shared" si="44"/>
        <v>65</v>
      </c>
      <c r="G647" s="183" t="s">
        <v>1368</v>
      </c>
      <c r="H647" s="188">
        <v>65</v>
      </c>
      <c r="J647" s="174" t="s">
        <v>1292</v>
      </c>
    </row>
    <row r="648" spans="2:10" x14ac:dyDescent="0.25">
      <c r="B648" s="506" t="str">
        <f>"S "&amp;(RIGHT(B646,3)+1)</f>
        <v>S 329</v>
      </c>
      <c r="C648" s="18" t="s">
        <v>1371</v>
      </c>
      <c r="D648" s="18" t="s">
        <v>1372</v>
      </c>
      <c r="E648" s="196">
        <f t="shared" si="45"/>
        <v>592</v>
      </c>
      <c r="F648" s="183">
        <f t="shared" si="44"/>
        <v>34</v>
      </c>
      <c r="G648" s="183" t="s">
        <v>1368</v>
      </c>
      <c r="H648" s="188">
        <v>34</v>
      </c>
      <c r="J648" s="174" t="s">
        <v>1292</v>
      </c>
    </row>
    <row r="649" spans="2:10" ht="31.5" customHeight="1" x14ac:dyDescent="0.25">
      <c r="B649" s="507"/>
      <c r="C649" s="18" t="s">
        <v>1373</v>
      </c>
      <c r="D649" s="18" t="s">
        <v>1374</v>
      </c>
      <c r="E649" s="196">
        <f t="shared" si="45"/>
        <v>593</v>
      </c>
      <c r="F649" s="183">
        <f t="shared" si="44"/>
        <v>34</v>
      </c>
      <c r="G649" s="183" t="s">
        <v>1368</v>
      </c>
      <c r="H649" s="188">
        <v>34</v>
      </c>
      <c r="J649" s="174" t="s">
        <v>1292</v>
      </c>
    </row>
    <row r="650" spans="2:10" x14ac:dyDescent="0.25">
      <c r="B650" s="506" t="str">
        <f>"S "&amp;(RIGHT(B648,3)+1)</f>
        <v>S 330</v>
      </c>
      <c r="C650" s="18" t="s">
        <v>1375</v>
      </c>
      <c r="D650" s="18" t="s">
        <v>1376</v>
      </c>
      <c r="E650" s="196">
        <f t="shared" si="45"/>
        <v>594</v>
      </c>
      <c r="F650" s="183">
        <f t="shared" si="44"/>
        <v>100</v>
      </c>
      <c r="G650" s="183" t="s">
        <v>1368</v>
      </c>
      <c r="H650" s="188">
        <v>100</v>
      </c>
      <c r="J650" s="174" t="s">
        <v>1292</v>
      </c>
    </row>
    <row r="651" spans="2:10" x14ac:dyDescent="0.25">
      <c r="B651" s="507"/>
      <c r="C651" s="18" t="s">
        <v>1377</v>
      </c>
      <c r="D651" s="18" t="s">
        <v>1378</v>
      </c>
      <c r="E651" s="196">
        <f t="shared" si="45"/>
        <v>595</v>
      </c>
      <c r="F651" s="183">
        <f t="shared" si="44"/>
        <v>68</v>
      </c>
      <c r="G651" s="183" t="s">
        <v>1368</v>
      </c>
      <c r="H651" s="188">
        <v>68</v>
      </c>
      <c r="J651" s="174" t="s">
        <v>1292</v>
      </c>
    </row>
    <row r="652" spans="2:10" x14ac:dyDescent="0.25">
      <c r="B652" s="506" t="str">
        <f>"S "&amp;(RIGHT(B650,3)+1)</f>
        <v>S 331</v>
      </c>
      <c r="C652" s="18" t="s">
        <v>1379</v>
      </c>
      <c r="D652" s="18" t="s">
        <v>1380</v>
      </c>
      <c r="E652" s="196">
        <f t="shared" si="45"/>
        <v>596</v>
      </c>
      <c r="F652" s="183">
        <f t="shared" si="44"/>
        <v>382</v>
      </c>
      <c r="G652" s="183" t="s">
        <v>1368</v>
      </c>
      <c r="H652" s="188">
        <v>382</v>
      </c>
      <c r="J652" s="174" t="s">
        <v>1292</v>
      </c>
    </row>
    <row r="653" spans="2:10" x14ac:dyDescent="0.25">
      <c r="B653" s="507"/>
      <c r="C653" s="18" t="s">
        <v>1381</v>
      </c>
      <c r="D653" s="18" t="s">
        <v>1382</v>
      </c>
      <c r="E653" s="196">
        <f t="shared" si="45"/>
        <v>597</v>
      </c>
      <c r="F653" s="183">
        <f t="shared" si="44"/>
        <v>256</v>
      </c>
      <c r="G653" s="183" t="s">
        <v>1368</v>
      </c>
      <c r="H653" s="188">
        <v>256</v>
      </c>
      <c r="J653" s="174" t="s">
        <v>1292</v>
      </c>
    </row>
    <row r="654" spans="2:10" ht="31.5" customHeight="1" x14ac:dyDescent="0.25">
      <c r="B654" s="506" t="str">
        <f>"S "&amp;(RIGHT(B652,3)+1)</f>
        <v>S 332</v>
      </c>
      <c r="C654" s="18" t="s">
        <v>1383</v>
      </c>
      <c r="D654" s="18" t="s">
        <v>1384</v>
      </c>
      <c r="E654" s="196">
        <f t="shared" si="45"/>
        <v>598</v>
      </c>
      <c r="F654" s="183">
        <f t="shared" si="44"/>
        <v>128</v>
      </c>
      <c r="G654" s="183" t="s">
        <v>1368</v>
      </c>
      <c r="H654" s="188">
        <v>128</v>
      </c>
      <c r="J654" s="174" t="s">
        <v>1292</v>
      </c>
    </row>
    <row r="655" spans="2:10" ht="31.5" customHeight="1" x14ac:dyDescent="0.25">
      <c r="B655" s="507"/>
      <c r="C655" s="18" t="s">
        <v>1385</v>
      </c>
      <c r="D655" s="18" t="s">
        <v>1386</v>
      </c>
      <c r="E655" s="196">
        <f t="shared" si="45"/>
        <v>599</v>
      </c>
      <c r="F655" s="183">
        <f t="shared" si="44"/>
        <v>98</v>
      </c>
      <c r="G655" s="183" t="s">
        <v>1368</v>
      </c>
      <c r="H655" s="188">
        <v>98</v>
      </c>
      <c r="J655" s="174" t="s">
        <v>1292</v>
      </c>
    </row>
    <row r="656" spans="2:10" x14ac:dyDescent="0.25">
      <c r="B656" s="506" t="str">
        <f>"S "&amp;(RIGHT(B654,3)+1)</f>
        <v>S 333</v>
      </c>
      <c r="C656" s="18" t="s">
        <v>1387</v>
      </c>
      <c r="D656" s="18" t="s">
        <v>1388</v>
      </c>
      <c r="E656" s="196">
        <f t="shared" si="45"/>
        <v>600</v>
      </c>
      <c r="F656" s="183">
        <f t="shared" si="44"/>
        <v>1070</v>
      </c>
      <c r="G656" s="183" t="s">
        <v>1368</v>
      </c>
      <c r="H656" s="188">
        <v>1070</v>
      </c>
      <c r="J656" s="174" t="s">
        <v>1292</v>
      </c>
    </row>
    <row r="657" spans="2:10" x14ac:dyDescent="0.25">
      <c r="B657" s="507"/>
      <c r="C657" s="18" t="s">
        <v>1389</v>
      </c>
      <c r="D657" s="18" t="s">
        <v>1390</v>
      </c>
      <c r="E657" s="196">
        <f t="shared" si="45"/>
        <v>601</v>
      </c>
      <c r="F657" s="183">
        <f t="shared" si="44"/>
        <v>521</v>
      </c>
      <c r="G657" s="183" t="s">
        <v>1368</v>
      </c>
      <c r="H657" s="188">
        <v>521</v>
      </c>
      <c r="J657" s="174" t="s">
        <v>1292</v>
      </c>
    </row>
    <row r="658" spans="2:10" x14ac:dyDescent="0.25">
      <c r="B658" s="267"/>
      <c r="C658" s="48" t="s">
        <v>1391</v>
      </c>
      <c r="D658" s="18"/>
      <c r="E658" s="136"/>
      <c r="F658" s="14"/>
      <c r="G658" s="14"/>
      <c r="J658" s="174" t="s">
        <v>1292</v>
      </c>
    </row>
    <row r="659" spans="2:10" ht="31.5" customHeight="1" x14ac:dyDescent="0.25">
      <c r="B659" s="267" t="str">
        <f>"S "&amp;(RIGHT(B656,3)+1)</f>
        <v>S 334</v>
      </c>
      <c r="C659" s="18" t="s">
        <v>1392</v>
      </c>
      <c r="D659" s="18" t="s">
        <v>1393</v>
      </c>
      <c r="E659" s="196">
        <f>E657+1</f>
        <v>602</v>
      </c>
      <c r="F659" s="183" t="str">
        <f t="shared" ref="F659:F670" si="46">H659</f>
        <v>Ya</v>
      </c>
      <c r="G659" s="183" t="s">
        <v>45</v>
      </c>
      <c r="H659" s="188" t="s">
        <v>249</v>
      </c>
      <c r="J659" s="174" t="s">
        <v>1292</v>
      </c>
    </row>
    <row r="660" spans="2:10" ht="31.5" customHeight="1" x14ac:dyDescent="0.25">
      <c r="B660" s="267" t="str">
        <f t="shared" ref="B660:B670" si="47">"S "&amp;(RIGHT(B659,3)+1)</f>
        <v>S 335</v>
      </c>
      <c r="C660" s="18" t="s">
        <v>1394</v>
      </c>
      <c r="D660" s="18" t="s">
        <v>1395</v>
      </c>
      <c r="E660" s="196">
        <f t="shared" ref="E660:E670" si="48">E659+1</f>
        <v>603</v>
      </c>
      <c r="F660" s="183" t="str">
        <f t="shared" si="46"/>
        <v>Ya</v>
      </c>
      <c r="G660" s="183" t="s">
        <v>45</v>
      </c>
      <c r="H660" s="188" t="s">
        <v>249</v>
      </c>
      <c r="J660" s="174" t="s">
        <v>1292</v>
      </c>
    </row>
    <row r="661" spans="2:10" x14ac:dyDescent="0.25">
      <c r="B661" s="267" t="str">
        <f t="shared" si="47"/>
        <v>S 336</v>
      </c>
      <c r="C661" s="18" t="s">
        <v>1396</v>
      </c>
      <c r="D661" s="18" t="s">
        <v>1397</v>
      </c>
      <c r="E661" s="196">
        <f t="shared" si="48"/>
        <v>604</v>
      </c>
      <c r="F661" s="183">
        <f t="shared" si="46"/>
        <v>86666000</v>
      </c>
      <c r="G661" s="183" t="s">
        <v>1398</v>
      </c>
      <c r="H661" s="188">
        <v>86666000</v>
      </c>
      <c r="J661" s="174" t="s">
        <v>1292</v>
      </c>
    </row>
    <row r="662" spans="2:10" x14ac:dyDescent="0.25">
      <c r="B662" s="267" t="str">
        <f t="shared" si="47"/>
        <v>S 337</v>
      </c>
      <c r="C662" s="18" t="s">
        <v>1399</v>
      </c>
      <c r="D662" s="18" t="s">
        <v>1400</v>
      </c>
      <c r="E662" s="196">
        <f t="shared" si="48"/>
        <v>605</v>
      </c>
      <c r="F662" s="183" t="str">
        <f t="shared" si="46"/>
        <v>Ada</v>
      </c>
      <c r="G662" s="183" t="s">
        <v>45</v>
      </c>
      <c r="H662" s="188" t="s">
        <v>148</v>
      </c>
      <c r="J662" s="174" t="s">
        <v>1292</v>
      </c>
    </row>
    <row r="663" spans="2:10" ht="31.5" customHeight="1" x14ac:dyDescent="0.25">
      <c r="B663" s="267" t="str">
        <f t="shared" si="47"/>
        <v>S 338</v>
      </c>
      <c r="C663" s="18" t="s">
        <v>1401</v>
      </c>
      <c r="D663" s="18" t="s">
        <v>1402</v>
      </c>
      <c r="E663" s="196">
        <f t="shared" si="48"/>
        <v>606</v>
      </c>
      <c r="F663" s="183" t="str">
        <f t="shared" si="46"/>
        <v>Ada</v>
      </c>
      <c r="G663" s="183" t="s">
        <v>45</v>
      </c>
      <c r="H663" s="188" t="s">
        <v>148</v>
      </c>
      <c r="J663" s="174" t="s">
        <v>1292</v>
      </c>
    </row>
    <row r="664" spans="2:10" x14ac:dyDescent="0.25">
      <c r="B664" s="267" t="str">
        <f t="shared" si="47"/>
        <v>S 339</v>
      </c>
      <c r="C664" s="18" t="s">
        <v>1403</v>
      </c>
      <c r="D664" s="18" t="s">
        <v>1404</v>
      </c>
      <c r="E664" s="196">
        <f t="shared" si="48"/>
        <v>607</v>
      </c>
      <c r="F664" s="183" t="str">
        <f t="shared" si="46"/>
        <v>Rutin Tiap Bulan</v>
      </c>
      <c r="G664" s="183" t="s">
        <v>45</v>
      </c>
      <c r="H664" s="188" t="s">
        <v>1405</v>
      </c>
      <c r="J664" s="174" t="s">
        <v>1292</v>
      </c>
    </row>
    <row r="665" spans="2:10" x14ac:dyDescent="0.25">
      <c r="B665" s="267" t="str">
        <f t="shared" si="47"/>
        <v>S 340</v>
      </c>
      <c r="C665" s="18" t="s">
        <v>1406</v>
      </c>
      <c r="D665" s="18" t="s">
        <v>1407</v>
      </c>
      <c r="E665" s="196">
        <f t="shared" si="48"/>
        <v>608</v>
      </c>
      <c r="F665" s="183" t="str">
        <f t="shared" si="46"/>
        <v>Rutin Tiap Bulan</v>
      </c>
      <c r="G665" s="183" t="s">
        <v>45</v>
      </c>
      <c r="H665" s="188" t="s">
        <v>1405</v>
      </c>
      <c r="J665" s="174" t="s">
        <v>1292</v>
      </c>
    </row>
    <row r="666" spans="2:10" x14ac:dyDescent="0.25">
      <c r="B666" s="267" t="str">
        <f t="shared" si="47"/>
        <v>S 341</v>
      </c>
      <c r="C666" s="18" t="s">
        <v>1408</v>
      </c>
      <c r="D666" s="18" t="s">
        <v>1409</v>
      </c>
      <c r="E666" s="196">
        <f t="shared" si="48"/>
        <v>609</v>
      </c>
      <c r="F666" s="183" t="str">
        <f t="shared" si="46"/>
        <v>Rutin Tiap Bulan</v>
      </c>
      <c r="G666" s="183" t="s">
        <v>45</v>
      </c>
      <c r="H666" s="188" t="s">
        <v>1405</v>
      </c>
      <c r="J666" s="174" t="s">
        <v>1292</v>
      </c>
    </row>
    <row r="667" spans="2:10" x14ac:dyDescent="0.25">
      <c r="B667" s="267" t="str">
        <f t="shared" si="47"/>
        <v>S 342</v>
      </c>
      <c r="C667" s="18" t="s">
        <v>1410</v>
      </c>
      <c r="D667" s="18" t="s">
        <v>1411</v>
      </c>
      <c r="E667" s="196">
        <f t="shared" si="48"/>
        <v>610</v>
      </c>
      <c r="F667" s="183" t="str">
        <f t="shared" si="46"/>
        <v>Ada</v>
      </c>
      <c r="G667" s="183" t="s">
        <v>45</v>
      </c>
      <c r="H667" s="188" t="s">
        <v>148</v>
      </c>
      <c r="J667" s="174" t="s">
        <v>1292</v>
      </c>
    </row>
    <row r="668" spans="2:10" x14ac:dyDescent="0.25">
      <c r="B668" s="267" t="str">
        <f t="shared" si="47"/>
        <v>S 343</v>
      </c>
      <c r="C668" s="18" t="s">
        <v>1412</v>
      </c>
      <c r="D668" s="18" t="s">
        <v>1413</v>
      </c>
      <c r="E668" s="196">
        <f t="shared" si="48"/>
        <v>611</v>
      </c>
      <c r="F668" s="183" t="str">
        <f t="shared" si="46"/>
        <v>Ada</v>
      </c>
      <c r="G668" s="183" t="s">
        <v>45</v>
      </c>
      <c r="H668" s="188" t="s">
        <v>148</v>
      </c>
      <c r="J668" s="174" t="s">
        <v>1292</v>
      </c>
    </row>
    <row r="669" spans="2:10" ht="42" customHeight="1" x14ac:dyDescent="0.25">
      <c r="B669" s="267" t="str">
        <f t="shared" si="47"/>
        <v>S 344</v>
      </c>
      <c r="C669" s="18" t="s">
        <v>1414</v>
      </c>
      <c r="D669" s="18" t="s">
        <v>1415</v>
      </c>
      <c r="E669" s="196">
        <f t="shared" si="48"/>
        <v>612</v>
      </c>
      <c r="F669" s="183" t="str">
        <f t="shared" si="46"/>
        <v>Ada</v>
      </c>
      <c r="G669" s="183" t="s">
        <v>45</v>
      </c>
      <c r="H669" s="188" t="s">
        <v>148</v>
      </c>
      <c r="J669" s="174" t="s">
        <v>1292</v>
      </c>
    </row>
    <row r="670" spans="2:10" ht="40.5" customHeight="1" x14ac:dyDescent="0.25">
      <c r="B670" s="267" t="str">
        <f t="shared" si="47"/>
        <v>S 345</v>
      </c>
      <c r="C670" s="18" t="s">
        <v>1416</v>
      </c>
      <c r="D670" s="18" t="s">
        <v>1417</v>
      </c>
      <c r="E670" s="196">
        <f t="shared" si="48"/>
        <v>613</v>
      </c>
      <c r="F670" s="183" t="str">
        <f t="shared" si="46"/>
        <v>Ibu baduta kurang perhatian terhadap gizi anaknya</v>
      </c>
      <c r="G670" s="183" t="s">
        <v>33</v>
      </c>
      <c r="H670" s="188" t="s">
        <v>1418</v>
      </c>
      <c r="J670" s="174" t="s">
        <v>1292</v>
      </c>
    </row>
    <row r="671" spans="2:10" x14ac:dyDescent="0.25">
      <c r="B671" s="525" t="s">
        <v>1419</v>
      </c>
      <c r="C671" s="526"/>
      <c r="D671" s="527"/>
      <c r="E671" s="136"/>
      <c r="F671" s="14"/>
      <c r="G671" s="14"/>
    </row>
    <row r="672" spans="2:10" x14ac:dyDescent="0.25">
      <c r="B672" s="119"/>
      <c r="C672" s="50" t="s">
        <v>1420</v>
      </c>
      <c r="D672" s="47"/>
      <c r="E672" s="136"/>
      <c r="F672" s="14"/>
      <c r="G672" s="14"/>
    </row>
    <row r="673" spans="2:10" x14ac:dyDescent="0.25">
      <c r="B673" s="515" t="str">
        <f>"S "&amp;(RIGHT(B670,3)+1)</f>
        <v>S 346</v>
      </c>
      <c r="C673" s="18" t="s">
        <v>1421</v>
      </c>
      <c r="D673" s="18" t="s">
        <v>1422</v>
      </c>
      <c r="E673" s="107">
        <f>E670+1</f>
        <v>614</v>
      </c>
      <c r="F673" s="14">
        <f t="shared" ref="F673:F688" si="49">H673</f>
        <v>5</v>
      </c>
      <c r="G673" s="14" t="s">
        <v>1048</v>
      </c>
      <c r="H673" s="2">
        <v>5</v>
      </c>
      <c r="J673" s="174" t="s">
        <v>1423</v>
      </c>
    </row>
    <row r="674" spans="2:10" x14ac:dyDescent="0.25">
      <c r="B674" s="516"/>
      <c r="C674" s="18" t="s">
        <v>1424</v>
      </c>
      <c r="D674" s="18" t="s">
        <v>1425</v>
      </c>
      <c r="E674" s="107">
        <f t="shared" ref="E674:E688" si="50">E673+1</f>
        <v>615</v>
      </c>
      <c r="F674" s="14">
        <f t="shared" si="49"/>
        <v>37</v>
      </c>
      <c r="G674" s="14" t="s">
        <v>204</v>
      </c>
      <c r="H674" s="2">
        <v>37</v>
      </c>
      <c r="J674" s="174" t="s">
        <v>1036</v>
      </c>
    </row>
    <row r="675" spans="2:10" x14ac:dyDescent="0.25">
      <c r="B675" s="516"/>
      <c r="C675" s="18" t="s">
        <v>1426</v>
      </c>
      <c r="D675" s="18" t="s">
        <v>1427</v>
      </c>
      <c r="E675" s="107">
        <f t="shared" si="50"/>
        <v>616</v>
      </c>
      <c r="F675" s="20">
        <f t="shared" si="49"/>
        <v>140</v>
      </c>
      <c r="G675" s="14" t="s">
        <v>1151</v>
      </c>
      <c r="H675" s="4">
        <v>140</v>
      </c>
      <c r="I675" s="173" t="s">
        <v>1428</v>
      </c>
      <c r="J675" s="174" t="s">
        <v>1429</v>
      </c>
    </row>
    <row r="676" spans="2:10" x14ac:dyDescent="0.25">
      <c r="B676" s="516"/>
      <c r="C676" s="18" t="s">
        <v>1430</v>
      </c>
      <c r="D676" s="18" t="s">
        <v>1431</v>
      </c>
      <c r="E676" s="107">
        <f t="shared" si="50"/>
        <v>617</v>
      </c>
      <c r="F676" s="14">
        <f t="shared" si="49"/>
        <v>1</v>
      </c>
      <c r="G676" s="14" t="s">
        <v>1155</v>
      </c>
      <c r="H676" s="4">
        <v>1</v>
      </c>
      <c r="J676" s="174" t="s">
        <v>1432</v>
      </c>
    </row>
    <row r="677" spans="2:10" x14ac:dyDescent="0.25">
      <c r="B677" s="517"/>
      <c r="C677" s="18" t="s">
        <v>1433</v>
      </c>
      <c r="D677" s="18" t="s">
        <v>1434</v>
      </c>
      <c r="E677" s="107">
        <f t="shared" si="50"/>
        <v>618</v>
      </c>
      <c r="F677" s="19">
        <f t="shared" si="49"/>
        <v>6</v>
      </c>
      <c r="G677" s="14" t="s">
        <v>1435</v>
      </c>
      <c r="H677" s="191">
        <v>6</v>
      </c>
      <c r="J677" s="174" t="s">
        <v>1243</v>
      </c>
    </row>
    <row r="678" spans="2:10" x14ac:dyDescent="0.25">
      <c r="B678" s="515" t="str">
        <f>"S "&amp;(RIGHT(B673,3)+1)</f>
        <v>S 347</v>
      </c>
      <c r="C678" s="18" t="s">
        <v>1436</v>
      </c>
      <c r="D678" s="18" t="s">
        <v>1437</v>
      </c>
      <c r="E678" s="107">
        <f t="shared" si="50"/>
        <v>619</v>
      </c>
      <c r="F678" s="14">
        <f t="shared" si="49"/>
        <v>1</v>
      </c>
      <c r="G678" s="14" t="s">
        <v>1048</v>
      </c>
      <c r="H678" s="2">
        <v>1</v>
      </c>
      <c r="J678" s="174" t="s">
        <v>1423</v>
      </c>
    </row>
    <row r="679" spans="2:10" x14ac:dyDescent="0.25">
      <c r="B679" s="516"/>
      <c r="C679" s="18" t="s">
        <v>1438</v>
      </c>
      <c r="D679" s="18" t="s">
        <v>1439</v>
      </c>
      <c r="E679" s="107">
        <f t="shared" si="50"/>
        <v>620</v>
      </c>
      <c r="F679" s="14">
        <f t="shared" si="49"/>
        <v>10</v>
      </c>
      <c r="G679" s="14" t="s">
        <v>204</v>
      </c>
      <c r="H679" s="2">
        <v>10</v>
      </c>
      <c r="J679" s="174" t="s">
        <v>1036</v>
      </c>
    </row>
    <row r="680" spans="2:10" x14ac:dyDescent="0.25">
      <c r="B680" s="516"/>
      <c r="C680" s="18" t="s">
        <v>1440</v>
      </c>
      <c r="D680" s="18" t="s">
        <v>1441</v>
      </c>
      <c r="E680" s="107">
        <f t="shared" si="50"/>
        <v>621</v>
      </c>
      <c r="F680" s="20">
        <f t="shared" si="49"/>
        <v>7000</v>
      </c>
      <c r="G680" s="14" t="s">
        <v>1151</v>
      </c>
      <c r="H680" s="4">
        <v>7000</v>
      </c>
      <c r="I680" s="173" t="s">
        <v>1428</v>
      </c>
      <c r="J680" s="174" t="s">
        <v>1429</v>
      </c>
    </row>
    <row r="681" spans="2:10" x14ac:dyDescent="0.25">
      <c r="B681" s="516"/>
      <c r="C681" s="18" t="s">
        <v>1442</v>
      </c>
      <c r="D681" s="18" t="s">
        <v>1443</v>
      </c>
      <c r="E681" s="107">
        <f t="shared" si="50"/>
        <v>622</v>
      </c>
      <c r="F681" s="14">
        <f t="shared" si="49"/>
        <v>40</v>
      </c>
      <c r="G681" s="14" t="s">
        <v>1155</v>
      </c>
      <c r="H681" s="4">
        <v>40</v>
      </c>
      <c r="J681" s="174" t="s">
        <v>1444</v>
      </c>
    </row>
    <row r="682" spans="2:10" x14ac:dyDescent="0.25">
      <c r="B682" s="517"/>
      <c r="C682" s="18" t="s">
        <v>1445</v>
      </c>
      <c r="D682" s="18" t="s">
        <v>1446</v>
      </c>
      <c r="E682" s="107">
        <f t="shared" si="50"/>
        <v>623</v>
      </c>
      <c r="F682" s="19">
        <f t="shared" si="49"/>
        <v>3</v>
      </c>
      <c r="G682" s="14" t="s">
        <v>1435</v>
      </c>
      <c r="H682" s="191">
        <v>3</v>
      </c>
      <c r="J682" s="174" t="s">
        <v>1447</v>
      </c>
    </row>
    <row r="683" spans="2:10" x14ac:dyDescent="0.25">
      <c r="B683" s="515" t="str">
        <f>"S "&amp;(RIGHT(B678,3)+1)</f>
        <v>S 348</v>
      </c>
      <c r="C683" s="18" t="s">
        <v>1448</v>
      </c>
      <c r="D683" s="18" t="s">
        <v>1449</v>
      </c>
      <c r="E683" s="107">
        <f t="shared" si="50"/>
        <v>624</v>
      </c>
      <c r="F683" s="14">
        <f t="shared" si="49"/>
        <v>0</v>
      </c>
      <c r="G683" s="14" t="s">
        <v>1048</v>
      </c>
      <c r="H683" s="2">
        <v>0</v>
      </c>
      <c r="J683" s="174" t="s">
        <v>1423</v>
      </c>
    </row>
    <row r="684" spans="2:10" x14ac:dyDescent="0.25">
      <c r="B684" s="516"/>
      <c r="C684" s="18" t="s">
        <v>1450</v>
      </c>
      <c r="D684" s="18" t="s">
        <v>1451</v>
      </c>
      <c r="E684" s="107">
        <f t="shared" si="50"/>
        <v>625</v>
      </c>
      <c r="F684" s="14">
        <f t="shared" si="49"/>
        <v>33</v>
      </c>
      <c r="G684" s="14" t="s">
        <v>204</v>
      </c>
      <c r="H684" s="2">
        <v>33</v>
      </c>
      <c r="J684" s="174" t="s">
        <v>1036</v>
      </c>
    </row>
    <row r="685" spans="2:10" x14ac:dyDescent="0.25">
      <c r="B685" s="516"/>
      <c r="C685" s="18" t="s">
        <v>1452</v>
      </c>
      <c r="D685" s="18" t="s">
        <v>1453</v>
      </c>
      <c r="E685" s="107">
        <f t="shared" si="50"/>
        <v>626</v>
      </c>
      <c r="F685" s="20">
        <f t="shared" si="49"/>
        <v>2500</v>
      </c>
      <c r="G685" s="14" t="s">
        <v>1151</v>
      </c>
      <c r="H685" s="4">
        <v>2500</v>
      </c>
      <c r="I685" s="173" t="s">
        <v>1428</v>
      </c>
      <c r="J685" s="174" t="s">
        <v>1429</v>
      </c>
    </row>
    <row r="686" spans="2:10" x14ac:dyDescent="0.25">
      <c r="B686" s="516"/>
      <c r="C686" s="18" t="s">
        <v>1454</v>
      </c>
      <c r="D686" s="18" t="s">
        <v>1455</v>
      </c>
      <c r="E686" s="107">
        <f t="shared" si="50"/>
        <v>627</v>
      </c>
      <c r="F686" s="14">
        <f t="shared" si="49"/>
        <v>4</v>
      </c>
      <c r="G686" s="14" t="s">
        <v>1155</v>
      </c>
      <c r="H686" s="4">
        <v>4</v>
      </c>
      <c r="J686" s="174" t="s">
        <v>1456</v>
      </c>
    </row>
    <row r="687" spans="2:10" x14ac:dyDescent="0.25">
      <c r="B687" s="517"/>
      <c r="C687" s="18" t="s">
        <v>1457</v>
      </c>
      <c r="D687" s="18" t="s">
        <v>1458</v>
      </c>
      <c r="E687" s="107">
        <f t="shared" si="50"/>
        <v>628</v>
      </c>
      <c r="F687" s="19">
        <f t="shared" si="49"/>
        <v>3</v>
      </c>
      <c r="G687" s="14" t="s">
        <v>1435</v>
      </c>
      <c r="H687" s="191">
        <v>3</v>
      </c>
      <c r="J687" s="174" t="s">
        <v>1447</v>
      </c>
    </row>
    <row r="688" spans="2:10" x14ac:dyDescent="0.25">
      <c r="B688" s="269" t="str">
        <f>"S "&amp;(RIGHT(B683,3)+1)</f>
        <v>S 349</v>
      </c>
      <c r="C688" s="184" t="s">
        <v>1459</v>
      </c>
      <c r="D688" s="184" t="s">
        <v>1460</v>
      </c>
      <c r="E688" s="185">
        <f t="shared" si="50"/>
        <v>629</v>
      </c>
      <c r="F688" s="186">
        <f t="shared" si="49"/>
        <v>12</v>
      </c>
      <c r="G688" s="183" t="s">
        <v>1435</v>
      </c>
      <c r="H688" s="192">
        <f>$H$677+H682+$H$687</f>
        <v>12</v>
      </c>
      <c r="I688" s="187"/>
    </row>
    <row r="689" spans="2:11" x14ac:dyDescent="0.25">
      <c r="B689" s="269"/>
      <c r="C689" s="48" t="s">
        <v>1461</v>
      </c>
      <c r="D689" s="48"/>
      <c r="E689" s="137"/>
      <c r="F689" s="134"/>
      <c r="G689" s="134"/>
      <c r="H689" s="138"/>
      <c r="I689" s="171"/>
    </row>
    <row r="690" spans="2:11" x14ac:dyDescent="0.25">
      <c r="B690" s="514" t="str">
        <f>"S "&amp;(RIGHT(B688,3)+1)</f>
        <v>S 350</v>
      </c>
      <c r="C690" s="18" t="s">
        <v>1462</v>
      </c>
      <c r="D690" s="18" t="s">
        <v>1463</v>
      </c>
      <c r="E690" s="107">
        <f>E688+1</f>
        <v>630</v>
      </c>
      <c r="F690" s="14">
        <f t="shared" ref="F690:F699" si="51">H690</f>
        <v>0</v>
      </c>
      <c r="G690" s="14" t="s">
        <v>204</v>
      </c>
      <c r="H690" s="2">
        <v>0</v>
      </c>
      <c r="J690" s="174" t="s">
        <v>1464</v>
      </c>
    </row>
    <row r="691" spans="2:11" x14ac:dyDescent="0.25">
      <c r="B691" s="514"/>
      <c r="C691" s="18" t="s">
        <v>1465</v>
      </c>
      <c r="D691" s="18" t="s">
        <v>1466</v>
      </c>
      <c r="E691" s="107">
        <f t="shared" ref="E691:E699" si="52">E690+1</f>
        <v>631</v>
      </c>
      <c r="F691" s="14">
        <f t="shared" si="51"/>
        <v>0</v>
      </c>
      <c r="G691" s="14" t="s">
        <v>204</v>
      </c>
      <c r="H691" s="2">
        <v>0</v>
      </c>
      <c r="J691" s="174" t="s">
        <v>1464</v>
      </c>
    </row>
    <row r="692" spans="2:11" x14ac:dyDescent="0.25">
      <c r="B692" s="514"/>
      <c r="C692" s="18" t="s">
        <v>1467</v>
      </c>
      <c r="D692" s="18" t="s">
        <v>1468</v>
      </c>
      <c r="E692" s="107">
        <f t="shared" si="52"/>
        <v>632</v>
      </c>
      <c r="F692" s="14">
        <f t="shared" si="51"/>
        <v>0</v>
      </c>
      <c r="G692" s="14" t="s">
        <v>204</v>
      </c>
      <c r="H692" s="2">
        <v>0</v>
      </c>
      <c r="J692" s="174" t="s">
        <v>1464</v>
      </c>
    </row>
    <row r="693" spans="2:11" x14ac:dyDescent="0.25">
      <c r="B693" s="514"/>
      <c r="C693" s="18" t="s">
        <v>1469</v>
      </c>
      <c r="D693" s="18" t="s">
        <v>1470</v>
      </c>
      <c r="E693" s="107">
        <f t="shared" si="52"/>
        <v>633</v>
      </c>
      <c r="F693" s="14">
        <f t="shared" si="51"/>
        <v>0</v>
      </c>
      <c r="G693" s="14" t="s">
        <v>204</v>
      </c>
      <c r="H693" s="2">
        <v>0</v>
      </c>
      <c r="J693" s="174" t="s">
        <v>1464</v>
      </c>
    </row>
    <row r="694" spans="2:11" x14ac:dyDescent="0.25">
      <c r="B694" s="514"/>
      <c r="C694" s="18" t="s">
        <v>1471</v>
      </c>
      <c r="D694" s="18" t="s">
        <v>1472</v>
      </c>
      <c r="E694" s="107">
        <f t="shared" si="52"/>
        <v>634</v>
      </c>
      <c r="F694" s="14">
        <f t="shared" si="51"/>
        <v>0</v>
      </c>
      <c r="G694" s="14" t="s">
        <v>204</v>
      </c>
      <c r="H694" s="2">
        <v>0</v>
      </c>
      <c r="J694" s="174" t="s">
        <v>1464</v>
      </c>
    </row>
    <row r="695" spans="2:11" x14ac:dyDescent="0.25">
      <c r="B695" s="514"/>
      <c r="C695" s="18" t="s">
        <v>1473</v>
      </c>
      <c r="D695" s="18" t="s">
        <v>1474</v>
      </c>
      <c r="E695" s="107">
        <f t="shared" si="52"/>
        <v>635</v>
      </c>
      <c r="F695" s="14">
        <f t="shared" si="51"/>
        <v>0</v>
      </c>
      <c r="G695" s="14" t="s">
        <v>204</v>
      </c>
      <c r="H695" s="2">
        <v>0</v>
      </c>
      <c r="J695" s="174" t="s">
        <v>1464</v>
      </c>
    </row>
    <row r="696" spans="2:11" x14ac:dyDescent="0.25">
      <c r="B696" s="514"/>
      <c r="C696" s="18" t="s">
        <v>1475</v>
      </c>
      <c r="D696" s="18" t="s">
        <v>1476</v>
      </c>
      <c r="E696" s="107">
        <f t="shared" si="52"/>
        <v>636</v>
      </c>
      <c r="F696" s="14">
        <f t="shared" si="51"/>
        <v>0</v>
      </c>
      <c r="G696" s="14" t="s">
        <v>204</v>
      </c>
      <c r="H696" s="2">
        <v>0</v>
      </c>
      <c r="J696" s="174" t="s">
        <v>1464</v>
      </c>
    </row>
    <row r="697" spans="2:11" x14ac:dyDescent="0.25">
      <c r="B697" s="514"/>
      <c r="C697" s="18" t="s">
        <v>1477</v>
      </c>
      <c r="D697" s="18" t="s">
        <v>1478</v>
      </c>
      <c r="E697" s="107">
        <f t="shared" si="52"/>
        <v>637</v>
      </c>
      <c r="F697" s="14">
        <f t="shared" si="51"/>
        <v>0</v>
      </c>
      <c r="G697" s="14" t="s">
        <v>204</v>
      </c>
      <c r="H697" s="2">
        <v>0</v>
      </c>
      <c r="J697" s="174" t="s">
        <v>1464</v>
      </c>
    </row>
    <row r="698" spans="2:11" x14ac:dyDescent="0.25">
      <c r="B698" s="514"/>
      <c r="C698" s="18" t="s">
        <v>1479</v>
      </c>
      <c r="D698" s="18" t="s">
        <v>1480</v>
      </c>
      <c r="E698" s="107">
        <f t="shared" si="52"/>
        <v>638</v>
      </c>
      <c r="F698" s="14">
        <f t="shared" si="51"/>
        <v>0</v>
      </c>
      <c r="G698" s="14" t="s">
        <v>204</v>
      </c>
      <c r="H698" s="2">
        <v>0</v>
      </c>
      <c r="J698" s="174" t="s">
        <v>1464</v>
      </c>
    </row>
    <row r="699" spans="2:11" x14ac:dyDescent="0.25">
      <c r="B699" s="514"/>
      <c r="C699" s="18" t="s">
        <v>1481</v>
      </c>
      <c r="D699" s="18" t="s">
        <v>1482</v>
      </c>
      <c r="E699" s="107">
        <f t="shared" si="52"/>
        <v>639</v>
      </c>
      <c r="F699" s="14">
        <f t="shared" si="51"/>
        <v>0</v>
      </c>
      <c r="G699" s="14" t="s">
        <v>204</v>
      </c>
      <c r="H699" s="2">
        <v>0</v>
      </c>
      <c r="J699" s="174" t="s">
        <v>1464</v>
      </c>
    </row>
    <row r="700" spans="2:11" x14ac:dyDescent="0.25">
      <c r="B700" s="269"/>
      <c r="C700" s="46" t="s">
        <v>1483</v>
      </c>
      <c r="D700" s="47"/>
      <c r="E700" s="105"/>
      <c r="F700" s="14"/>
      <c r="G700" s="14"/>
    </row>
    <row r="701" spans="2:11" x14ac:dyDescent="0.25">
      <c r="B701" s="269" t="str">
        <f>"S "&amp;(RIGHT(B690,3)+1)</f>
        <v>S 351</v>
      </c>
      <c r="C701" s="18" t="s">
        <v>1484</v>
      </c>
      <c r="D701" s="18" t="s">
        <v>1485</v>
      </c>
      <c r="E701" s="107">
        <f>E699+1</f>
        <v>640</v>
      </c>
      <c r="F701" s="14">
        <f>H701</f>
        <v>4</v>
      </c>
      <c r="G701" s="14" t="s">
        <v>45</v>
      </c>
      <c r="H701" s="2">
        <v>4</v>
      </c>
    </row>
    <row r="702" spans="2:11" x14ac:dyDescent="0.25">
      <c r="B702" s="515" t="str">
        <f>"S "&amp;(RIGHT(B701,3)+1)</f>
        <v>S 352</v>
      </c>
      <c r="C702" s="18" t="s">
        <v>1486</v>
      </c>
      <c r="D702" s="18" t="s">
        <v>1487</v>
      </c>
      <c r="E702" s="107">
        <f>E701+1</f>
        <v>641</v>
      </c>
      <c r="F702" s="14">
        <f>H702</f>
        <v>1</v>
      </c>
      <c r="G702" s="14" t="s">
        <v>45</v>
      </c>
      <c r="H702" s="2">
        <v>1</v>
      </c>
    </row>
    <row r="703" spans="2:11" x14ac:dyDescent="0.25">
      <c r="B703" s="517"/>
      <c r="C703" s="18" t="s">
        <v>1488</v>
      </c>
      <c r="D703" s="18" t="s">
        <v>1489</v>
      </c>
      <c r="E703" s="107">
        <f>E702+1</f>
        <v>642</v>
      </c>
      <c r="F703" s="14">
        <f>H703</f>
        <v>1</v>
      </c>
      <c r="G703" s="14" t="s">
        <v>1311</v>
      </c>
      <c r="H703" s="2">
        <v>1</v>
      </c>
      <c r="J703" s="174" t="s">
        <v>1490</v>
      </c>
      <c r="K703" s="385" t="s">
        <v>1491</v>
      </c>
    </row>
    <row r="704" spans="2:11" x14ac:dyDescent="0.25">
      <c r="B704" s="515" t="str">
        <f>"S "&amp;(RIGHT(B702,3)+1)</f>
        <v>S 353</v>
      </c>
      <c r="C704" s="18" t="s">
        <v>1492</v>
      </c>
      <c r="D704" s="18" t="s">
        <v>1493</v>
      </c>
      <c r="E704" s="107">
        <f>E703+1</f>
        <v>643</v>
      </c>
      <c r="F704" s="14">
        <f>H704</f>
        <v>1</v>
      </c>
      <c r="G704" s="14" t="s">
        <v>45</v>
      </c>
      <c r="H704" s="2">
        <v>1</v>
      </c>
    </row>
    <row r="705" spans="2:11" x14ac:dyDescent="0.25">
      <c r="B705" s="517"/>
      <c r="C705" s="18" t="s">
        <v>1494</v>
      </c>
      <c r="D705" s="18" t="s">
        <v>1495</v>
      </c>
      <c r="E705" s="107">
        <f>E704+1</f>
        <v>644</v>
      </c>
      <c r="F705" s="14">
        <f>H705</f>
        <v>1</v>
      </c>
      <c r="G705" s="14" t="s">
        <v>1311</v>
      </c>
      <c r="H705" s="2">
        <v>1</v>
      </c>
      <c r="J705" s="174" t="s">
        <v>1496</v>
      </c>
      <c r="K705" s="385" t="s">
        <v>1497</v>
      </c>
    </row>
    <row r="706" spans="2:11" x14ac:dyDescent="0.25">
      <c r="B706" s="269"/>
      <c r="C706" s="46" t="s">
        <v>1498</v>
      </c>
      <c r="D706" s="47"/>
      <c r="E706" s="105"/>
      <c r="F706" s="14"/>
      <c r="G706" s="14"/>
    </row>
    <row r="707" spans="2:11" x14ac:dyDescent="0.25">
      <c r="B707" s="514" t="str">
        <f>"S "&amp;(RIGHT(B704,3)+1)</f>
        <v>S 354</v>
      </c>
      <c r="C707" s="18" t="s">
        <v>1499</v>
      </c>
      <c r="D707" s="18" t="s">
        <v>1500</v>
      </c>
      <c r="E707" s="107">
        <f>E705+1</f>
        <v>645</v>
      </c>
      <c r="F707" s="14">
        <f>H707</f>
        <v>1</v>
      </c>
      <c r="G707" s="14" t="s">
        <v>45</v>
      </c>
      <c r="H707" s="2">
        <v>1</v>
      </c>
    </row>
    <row r="708" spans="2:11" s="6" customFormat="1" x14ac:dyDescent="0.25">
      <c r="B708" s="514"/>
      <c r="C708" s="18" t="s">
        <v>1501</v>
      </c>
      <c r="D708" s="18" t="s">
        <v>1502</v>
      </c>
      <c r="E708" s="107">
        <f>E707+1</f>
        <v>646</v>
      </c>
      <c r="F708" s="14">
        <f>H708</f>
        <v>3</v>
      </c>
      <c r="G708" s="14" t="s">
        <v>1048</v>
      </c>
      <c r="H708" s="2">
        <v>3</v>
      </c>
      <c r="I708" s="173"/>
      <c r="J708" s="174" t="s">
        <v>1503</v>
      </c>
      <c r="K708" s="385" t="s">
        <v>1504</v>
      </c>
    </row>
    <row r="709" spans="2:11" s="6" customFormat="1" x14ac:dyDescent="0.25">
      <c r="B709" s="514"/>
      <c r="C709" s="18" t="s">
        <v>1505</v>
      </c>
      <c r="D709" s="18" t="s">
        <v>1506</v>
      </c>
      <c r="E709" s="107">
        <f>E708+1</f>
        <v>647</v>
      </c>
      <c r="F709" s="14">
        <f>H709</f>
        <v>0</v>
      </c>
      <c r="G709" s="14" t="s">
        <v>1048</v>
      </c>
      <c r="H709" s="2">
        <v>0</v>
      </c>
      <c r="I709" s="173"/>
      <c r="J709" s="174" t="s">
        <v>1503</v>
      </c>
      <c r="K709" s="385" t="s">
        <v>1504</v>
      </c>
    </row>
    <row r="710" spans="2:11" x14ac:dyDescent="0.25">
      <c r="B710" s="514"/>
      <c r="C710" s="18" t="s">
        <v>1507</v>
      </c>
      <c r="D710" s="18" t="s">
        <v>1508</v>
      </c>
      <c r="E710" s="107">
        <f>E709+1</f>
        <v>648</v>
      </c>
      <c r="F710" s="20">
        <f>H710</f>
        <v>500</v>
      </c>
      <c r="G710" s="14" t="s">
        <v>1151</v>
      </c>
      <c r="H710" s="65">
        <v>500</v>
      </c>
      <c r="J710" s="174" t="s">
        <v>1509</v>
      </c>
    </row>
    <row r="711" spans="2:11" x14ac:dyDescent="0.25">
      <c r="B711" s="514"/>
      <c r="C711" s="18" t="s">
        <v>1510</v>
      </c>
      <c r="D711" s="18" t="s">
        <v>1511</v>
      </c>
      <c r="E711" s="107">
        <f>E710+1</f>
        <v>649</v>
      </c>
      <c r="F711" s="14">
        <f>H711</f>
        <v>1</v>
      </c>
      <c r="G711" s="14" t="s">
        <v>1155</v>
      </c>
      <c r="H711" s="2">
        <v>1</v>
      </c>
      <c r="J711" s="174" t="s">
        <v>1512</v>
      </c>
    </row>
    <row r="712" spans="2:11" x14ac:dyDescent="0.25">
      <c r="B712" s="269"/>
      <c r="C712" s="46" t="s">
        <v>1513</v>
      </c>
      <c r="D712" s="18"/>
      <c r="E712" s="133"/>
      <c r="F712" s="14"/>
      <c r="G712" s="14"/>
    </row>
    <row r="713" spans="2:11" x14ac:dyDescent="0.25">
      <c r="B713" s="514" t="str">
        <f>"S "&amp;(RIGHT(B707,3)+1)</f>
        <v>S 355</v>
      </c>
      <c r="C713" s="18" t="s">
        <v>1514</v>
      </c>
      <c r="D713" s="18" t="s">
        <v>1515</v>
      </c>
      <c r="E713" s="107">
        <f>E711+1</f>
        <v>650</v>
      </c>
      <c r="F713" s="14">
        <f t="shared" ref="F713:F727" si="53">H713</f>
        <v>1</v>
      </c>
      <c r="G713" s="14" t="s">
        <v>45</v>
      </c>
      <c r="H713" s="2">
        <v>1</v>
      </c>
    </row>
    <row r="714" spans="2:11" x14ac:dyDescent="0.25">
      <c r="B714" s="514"/>
      <c r="C714" s="18" t="s">
        <v>1516</v>
      </c>
      <c r="D714" s="18" t="s">
        <v>1517</v>
      </c>
      <c r="E714" s="107">
        <f t="shared" ref="E714:E727" si="54">E713+1</f>
        <v>651</v>
      </c>
      <c r="F714" s="14">
        <f t="shared" si="53"/>
        <v>500</v>
      </c>
      <c r="G714" s="14" t="s">
        <v>1151</v>
      </c>
      <c r="H714" s="65">
        <v>500</v>
      </c>
      <c r="J714" s="174" t="s">
        <v>571</v>
      </c>
    </row>
    <row r="715" spans="2:11" x14ac:dyDescent="0.25">
      <c r="B715" s="514"/>
      <c r="C715" s="18" t="s">
        <v>1518</v>
      </c>
      <c r="D715" s="18" t="s">
        <v>1519</v>
      </c>
      <c r="E715" s="107">
        <f t="shared" si="54"/>
        <v>652</v>
      </c>
      <c r="F715" s="14">
        <f t="shared" si="53"/>
        <v>0</v>
      </c>
      <c r="G715" s="14" t="s">
        <v>45</v>
      </c>
      <c r="H715" s="2">
        <v>0</v>
      </c>
    </row>
    <row r="716" spans="2:11" x14ac:dyDescent="0.25">
      <c r="B716" s="514"/>
      <c r="C716" s="18" t="s">
        <v>1520</v>
      </c>
      <c r="D716" s="18" t="s">
        <v>1521</v>
      </c>
      <c r="E716" s="107">
        <f t="shared" si="54"/>
        <v>653</v>
      </c>
      <c r="F716" s="14">
        <f t="shared" si="53"/>
        <v>0</v>
      </c>
      <c r="G716" s="14" t="s">
        <v>1151</v>
      </c>
      <c r="H716" s="65">
        <v>0</v>
      </c>
      <c r="J716" s="174" t="s">
        <v>571</v>
      </c>
    </row>
    <row r="717" spans="2:11" x14ac:dyDescent="0.25">
      <c r="B717" s="514"/>
      <c r="C717" s="18" t="s">
        <v>1522</v>
      </c>
      <c r="D717" s="18" t="s">
        <v>1523</v>
      </c>
      <c r="E717" s="107">
        <f t="shared" si="54"/>
        <v>654</v>
      </c>
      <c r="F717" s="14">
        <f t="shared" si="53"/>
        <v>0</v>
      </c>
      <c r="G717" s="14" t="s">
        <v>45</v>
      </c>
      <c r="H717" s="2">
        <v>0</v>
      </c>
    </row>
    <row r="718" spans="2:11" x14ac:dyDescent="0.25">
      <c r="B718" s="514"/>
      <c r="C718" s="18" t="s">
        <v>1524</v>
      </c>
      <c r="D718" s="18" t="s">
        <v>1525</v>
      </c>
      <c r="E718" s="107">
        <f t="shared" si="54"/>
        <v>655</v>
      </c>
      <c r="F718" s="14">
        <f t="shared" si="53"/>
        <v>0</v>
      </c>
      <c r="G718" s="14" t="s">
        <v>1151</v>
      </c>
      <c r="H718" s="65">
        <v>0</v>
      </c>
      <c r="J718" s="174" t="s">
        <v>571</v>
      </c>
    </row>
    <row r="719" spans="2:11" x14ac:dyDescent="0.25">
      <c r="B719" s="514"/>
      <c r="C719" s="18" t="s">
        <v>1526</v>
      </c>
      <c r="D719" s="18" t="s">
        <v>1527</v>
      </c>
      <c r="E719" s="107">
        <f t="shared" si="54"/>
        <v>656</v>
      </c>
      <c r="F719" s="14">
        <f t="shared" si="53"/>
        <v>10</v>
      </c>
      <c r="G719" s="14" t="s">
        <v>204</v>
      </c>
      <c r="H719" s="2">
        <v>10</v>
      </c>
      <c r="J719" s="174" t="s">
        <v>1503</v>
      </c>
    </row>
    <row r="720" spans="2:11" x14ac:dyDescent="0.25">
      <c r="B720" s="514"/>
      <c r="C720" s="18" t="s">
        <v>1528</v>
      </c>
      <c r="D720" s="18" t="s">
        <v>1529</v>
      </c>
      <c r="E720" s="107">
        <f t="shared" si="54"/>
        <v>657</v>
      </c>
      <c r="F720" s="14">
        <f t="shared" si="53"/>
        <v>10</v>
      </c>
      <c r="G720" s="14" t="s">
        <v>204</v>
      </c>
      <c r="H720" s="2">
        <v>10</v>
      </c>
      <c r="J720" s="174" t="s">
        <v>1503</v>
      </c>
    </row>
    <row r="721" spans="2:11" x14ac:dyDescent="0.25">
      <c r="B721" s="514"/>
      <c r="C721" s="18" t="s">
        <v>1530</v>
      </c>
      <c r="D721" s="18" t="s">
        <v>1531</v>
      </c>
      <c r="E721" s="107">
        <f t="shared" si="54"/>
        <v>658</v>
      </c>
      <c r="F721" s="14">
        <f t="shared" si="53"/>
        <v>0</v>
      </c>
      <c r="G721" s="14" t="s">
        <v>204</v>
      </c>
      <c r="H721" s="2">
        <v>0</v>
      </c>
      <c r="J721" s="174" t="s">
        <v>1503</v>
      </c>
    </row>
    <row r="722" spans="2:11" x14ac:dyDescent="0.25">
      <c r="B722" s="514"/>
      <c r="C722" s="18" t="s">
        <v>1532</v>
      </c>
      <c r="D722" s="18" t="s">
        <v>1533</v>
      </c>
      <c r="E722" s="107">
        <f t="shared" si="54"/>
        <v>659</v>
      </c>
      <c r="F722" s="14">
        <f t="shared" si="53"/>
        <v>0</v>
      </c>
      <c r="G722" s="14" t="s">
        <v>204</v>
      </c>
      <c r="H722" s="2">
        <v>0</v>
      </c>
      <c r="J722" s="174" t="s">
        <v>1503</v>
      </c>
    </row>
    <row r="723" spans="2:11" x14ac:dyDescent="0.25">
      <c r="B723" s="514"/>
      <c r="C723" s="184" t="s">
        <v>1534</v>
      </c>
      <c r="D723" s="184" t="s">
        <v>1535</v>
      </c>
      <c r="E723" s="185">
        <f t="shared" si="54"/>
        <v>660</v>
      </c>
      <c r="F723" s="183">
        <f t="shared" si="53"/>
        <v>3</v>
      </c>
      <c r="G723" s="183" t="s">
        <v>1048</v>
      </c>
      <c r="H723" s="188">
        <f>$H$708+$H$709</f>
        <v>3</v>
      </c>
      <c r="I723" s="187" t="s">
        <v>1536</v>
      </c>
    </row>
    <row r="724" spans="2:11" x14ac:dyDescent="0.25">
      <c r="B724" s="269" t="str">
        <f>"S "&amp;(RIGHT(B713,3)+1)</f>
        <v>S 356</v>
      </c>
      <c r="C724" s="18" t="s">
        <v>1537</v>
      </c>
      <c r="D724" s="18" t="s">
        <v>1538</v>
      </c>
      <c r="E724" s="107">
        <f t="shared" si="54"/>
        <v>661</v>
      </c>
      <c r="F724" s="14">
        <f t="shared" si="53"/>
        <v>0</v>
      </c>
      <c r="G724" s="14" t="s">
        <v>45</v>
      </c>
      <c r="H724" s="2">
        <v>0</v>
      </c>
      <c r="I724" s="173" t="s">
        <v>1539</v>
      </c>
    </row>
    <row r="725" spans="2:11" x14ac:dyDescent="0.25">
      <c r="B725" s="515" t="str">
        <f>"S "&amp;(RIGHT(B724,3)+1)</f>
        <v>S 357</v>
      </c>
      <c r="C725" s="18" t="s">
        <v>1540</v>
      </c>
      <c r="D725" s="18" t="s">
        <v>1541</v>
      </c>
      <c r="E725" s="107">
        <f t="shared" si="54"/>
        <v>662</v>
      </c>
      <c r="F725" s="14">
        <f t="shared" si="53"/>
        <v>1</v>
      </c>
      <c r="G725" s="14" t="s">
        <v>1048</v>
      </c>
      <c r="H725" s="2">
        <v>1</v>
      </c>
      <c r="I725" s="173" t="s">
        <v>1542</v>
      </c>
      <c r="J725" s="174" t="s">
        <v>1503</v>
      </c>
    </row>
    <row r="726" spans="2:11" x14ac:dyDescent="0.25">
      <c r="B726" s="517"/>
      <c r="C726" s="18" t="s">
        <v>1543</v>
      </c>
      <c r="D726" s="18" t="s">
        <v>1544</v>
      </c>
      <c r="E726" s="107">
        <f t="shared" si="54"/>
        <v>663</v>
      </c>
      <c r="F726" s="14">
        <f t="shared" si="53"/>
        <v>4000</v>
      </c>
      <c r="G726" s="14" t="s">
        <v>1151</v>
      </c>
      <c r="H726" s="4">
        <v>4000</v>
      </c>
      <c r="J726" s="174" t="s">
        <v>571</v>
      </c>
    </row>
    <row r="727" spans="2:11" x14ac:dyDescent="0.25">
      <c r="B727" s="269" t="str">
        <f>"S "&amp;(RIGHT(B725,3)+1)</f>
        <v>S 358</v>
      </c>
      <c r="C727" s="21" t="s">
        <v>1545</v>
      </c>
      <c r="D727" s="18" t="s">
        <v>1546</v>
      </c>
      <c r="E727" s="107">
        <f t="shared" si="54"/>
        <v>664</v>
      </c>
      <c r="F727" s="14">
        <f t="shared" si="53"/>
        <v>0</v>
      </c>
      <c r="G727" s="14" t="s">
        <v>45</v>
      </c>
      <c r="H727" s="2">
        <v>0</v>
      </c>
    </row>
    <row r="728" spans="2:11" x14ac:dyDescent="0.25">
      <c r="B728" s="269"/>
      <c r="C728" s="46" t="s">
        <v>1547</v>
      </c>
      <c r="D728" s="47"/>
      <c r="E728" s="105"/>
      <c r="F728" s="14"/>
      <c r="G728" s="14"/>
    </row>
    <row r="729" spans="2:11" x14ac:dyDescent="0.25">
      <c r="B729" s="515" t="str">
        <f>"S "&amp;(RIGHT(B727,3)+1)</f>
        <v>S 359</v>
      </c>
      <c r="C729" s="18" t="s">
        <v>1548</v>
      </c>
      <c r="D729" s="18" t="s">
        <v>1549</v>
      </c>
      <c r="E729" s="107">
        <f>E727+1</f>
        <v>665</v>
      </c>
      <c r="F729" s="14">
        <f>H729</f>
        <v>1</v>
      </c>
      <c r="G729" s="14" t="s">
        <v>45</v>
      </c>
      <c r="H729" s="2">
        <v>1</v>
      </c>
      <c r="I729" s="173" t="s">
        <v>1550</v>
      </c>
      <c r="J729" s="389">
        <v>1</v>
      </c>
    </row>
    <row r="730" spans="2:11" x14ac:dyDescent="0.25">
      <c r="B730" s="517"/>
      <c r="C730" s="18" t="s">
        <v>1551</v>
      </c>
      <c r="D730" s="18" t="s">
        <v>1552</v>
      </c>
      <c r="E730" s="107">
        <f>E729+1</f>
        <v>666</v>
      </c>
      <c r="F730" s="14">
        <f>H730</f>
        <v>1</v>
      </c>
      <c r="G730" s="14" t="s">
        <v>45</v>
      </c>
      <c r="H730" s="2">
        <v>1</v>
      </c>
      <c r="J730" s="389">
        <v>2</v>
      </c>
    </row>
    <row r="731" spans="2:11" x14ac:dyDescent="0.25">
      <c r="B731" s="269"/>
      <c r="C731" s="46" t="s">
        <v>1553</v>
      </c>
      <c r="D731" s="47"/>
      <c r="E731" s="105"/>
      <c r="F731" s="14"/>
      <c r="G731" s="14"/>
      <c r="J731" s="389">
        <v>3</v>
      </c>
    </row>
    <row r="732" spans="2:11" ht="24" customHeight="1" x14ac:dyDescent="0.25">
      <c r="B732" s="515" t="str">
        <f>"S "&amp;(RIGHT(B729,3)+1)</f>
        <v>S 360</v>
      </c>
      <c r="C732" s="18" t="s">
        <v>1554</v>
      </c>
      <c r="D732" s="18" t="s">
        <v>1555</v>
      </c>
      <c r="E732" s="107">
        <f>E730+1</f>
        <v>667</v>
      </c>
      <c r="F732" s="14">
        <f t="shared" ref="F732:F763" si="55">H732</f>
        <v>1</v>
      </c>
      <c r="G732" s="14" t="s">
        <v>45</v>
      </c>
      <c r="H732" s="2">
        <v>1</v>
      </c>
      <c r="I732" s="173" t="s">
        <v>1556</v>
      </c>
      <c r="J732" s="389">
        <v>4</v>
      </c>
    </row>
    <row r="733" spans="2:11" ht="24" customHeight="1" x14ac:dyDescent="0.25">
      <c r="B733" s="517"/>
      <c r="C733" s="18" t="s">
        <v>1557</v>
      </c>
      <c r="D733" s="18" t="s">
        <v>1558</v>
      </c>
      <c r="E733" s="107">
        <f t="shared" ref="E733:E764" si="56">E732+1</f>
        <v>668</v>
      </c>
      <c r="F733" s="14">
        <f t="shared" si="55"/>
        <v>24</v>
      </c>
      <c r="G733" s="14" t="s">
        <v>1559</v>
      </c>
      <c r="H733" s="2">
        <v>24</v>
      </c>
      <c r="I733" s="173" t="s">
        <v>1560</v>
      </c>
      <c r="J733" s="174" t="s">
        <v>1561</v>
      </c>
      <c r="K733" s="385" t="s">
        <v>1562</v>
      </c>
    </row>
    <row r="734" spans="2:11" ht="24" customHeight="1" x14ac:dyDescent="0.25">
      <c r="B734" s="515" t="str">
        <f>"S "&amp;(RIGHT(B732,3)+1)</f>
        <v>S 361</v>
      </c>
      <c r="C734" s="18" t="s">
        <v>1563</v>
      </c>
      <c r="D734" s="18" t="s">
        <v>1564</v>
      </c>
      <c r="E734" s="107">
        <f t="shared" si="56"/>
        <v>669</v>
      </c>
      <c r="F734" s="14">
        <f t="shared" si="55"/>
        <v>1</v>
      </c>
      <c r="G734" s="14" t="s">
        <v>45</v>
      </c>
      <c r="H734" s="2">
        <v>1</v>
      </c>
      <c r="I734" s="173" t="s">
        <v>1565</v>
      </c>
    </row>
    <row r="735" spans="2:11" x14ac:dyDescent="0.25">
      <c r="B735" s="517"/>
      <c r="C735" s="18" t="s">
        <v>1566</v>
      </c>
      <c r="D735" s="18" t="s">
        <v>1567</v>
      </c>
      <c r="E735" s="107">
        <f t="shared" si="56"/>
        <v>670</v>
      </c>
      <c r="F735" s="14">
        <f t="shared" si="55"/>
        <v>1</v>
      </c>
      <c r="G735" s="14" t="s">
        <v>45</v>
      </c>
      <c r="H735" s="2">
        <v>1</v>
      </c>
      <c r="K735" s="385" t="s">
        <v>1568</v>
      </c>
    </row>
    <row r="736" spans="2:11" x14ac:dyDescent="0.25">
      <c r="B736" s="515" t="str">
        <f>"S "&amp;(RIGHT(B734,3)+1)</f>
        <v>S 362</v>
      </c>
      <c r="C736" s="60" t="s">
        <v>1569</v>
      </c>
      <c r="D736" s="18" t="s">
        <v>1570</v>
      </c>
      <c r="E736" s="107">
        <f t="shared" si="56"/>
        <v>671</v>
      </c>
      <c r="F736" s="14">
        <f t="shared" si="55"/>
        <v>1</v>
      </c>
      <c r="G736" s="14" t="s">
        <v>45</v>
      </c>
      <c r="H736" s="2">
        <v>1</v>
      </c>
    </row>
    <row r="737" spans="2:11" x14ac:dyDescent="0.25">
      <c r="B737" s="516"/>
      <c r="C737" s="61"/>
      <c r="D737" s="18" t="s">
        <v>1571</v>
      </c>
      <c r="E737" s="107">
        <f t="shared" si="56"/>
        <v>672</v>
      </c>
      <c r="F737" s="14">
        <f t="shared" si="55"/>
        <v>2</v>
      </c>
      <c r="G737" s="14" t="s">
        <v>1559</v>
      </c>
      <c r="H737" s="2">
        <v>2</v>
      </c>
      <c r="J737" s="174" t="s">
        <v>1561</v>
      </c>
      <c r="K737" s="385" t="s">
        <v>1572</v>
      </c>
    </row>
    <row r="738" spans="2:11" x14ac:dyDescent="0.25">
      <c r="B738" s="516"/>
      <c r="C738" s="60" t="s">
        <v>1573</v>
      </c>
      <c r="D738" s="18" t="s">
        <v>1574</v>
      </c>
      <c r="E738" s="107">
        <f t="shared" si="56"/>
        <v>673</v>
      </c>
      <c r="F738" s="14">
        <f t="shared" si="55"/>
        <v>1</v>
      </c>
      <c r="G738" s="14" t="s">
        <v>45</v>
      </c>
      <c r="H738" s="2">
        <v>1</v>
      </c>
    </row>
    <row r="739" spans="2:11" x14ac:dyDescent="0.25">
      <c r="B739" s="516"/>
      <c r="C739" s="61"/>
      <c r="D739" s="18" t="s">
        <v>1575</v>
      </c>
      <c r="E739" s="107">
        <f t="shared" si="56"/>
        <v>674</v>
      </c>
      <c r="F739" s="14">
        <f t="shared" si="55"/>
        <v>12</v>
      </c>
      <c r="G739" s="14" t="s">
        <v>1559</v>
      </c>
      <c r="H739" s="2">
        <v>12</v>
      </c>
      <c r="J739" s="174" t="s">
        <v>1561</v>
      </c>
      <c r="K739" s="385" t="s">
        <v>1576</v>
      </c>
    </row>
    <row r="740" spans="2:11" x14ac:dyDescent="0.25">
      <c r="B740" s="516"/>
      <c r="C740" s="60" t="s">
        <v>1577</v>
      </c>
      <c r="D740" s="18" t="s">
        <v>1578</v>
      </c>
      <c r="E740" s="107">
        <f t="shared" si="56"/>
        <v>675</v>
      </c>
      <c r="F740" s="14">
        <f t="shared" si="55"/>
        <v>1</v>
      </c>
      <c r="G740" s="14" t="s">
        <v>45</v>
      </c>
      <c r="H740" s="2">
        <v>1</v>
      </c>
    </row>
    <row r="741" spans="2:11" x14ac:dyDescent="0.25">
      <c r="B741" s="516"/>
      <c r="C741" s="61"/>
      <c r="D741" s="18" t="s">
        <v>1579</v>
      </c>
      <c r="E741" s="107">
        <f t="shared" si="56"/>
        <v>676</v>
      </c>
      <c r="F741" s="14">
        <f t="shared" si="55"/>
        <v>12</v>
      </c>
      <c r="G741" s="14" t="s">
        <v>1559</v>
      </c>
      <c r="H741" s="2">
        <v>12</v>
      </c>
      <c r="J741" s="174" t="s">
        <v>1561</v>
      </c>
      <c r="K741" s="385" t="s">
        <v>1580</v>
      </c>
    </row>
    <row r="742" spans="2:11" x14ac:dyDescent="0.25">
      <c r="B742" s="516"/>
      <c r="C742" s="60" t="s">
        <v>1581</v>
      </c>
      <c r="D742" s="18" t="s">
        <v>1582</v>
      </c>
      <c r="E742" s="107">
        <f t="shared" si="56"/>
        <v>677</v>
      </c>
      <c r="F742" s="14">
        <f t="shared" si="55"/>
        <v>0</v>
      </c>
      <c r="G742" s="14" t="s">
        <v>45</v>
      </c>
      <c r="H742" s="2">
        <v>0</v>
      </c>
    </row>
    <row r="743" spans="2:11" x14ac:dyDescent="0.25">
      <c r="B743" s="516"/>
      <c r="C743" s="61"/>
      <c r="D743" s="18" t="s">
        <v>1583</v>
      </c>
      <c r="E743" s="107">
        <f t="shared" si="56"/>
        <v>678</v>
      </c>
      <c r="F743" s="14">
        <f t="shared" si="55"/>
        <v>0</v>
      </c>
      <c r="G743" s="14" t="s">
        <v>1559</v>
      </c>
      <c r="H743" s="2">
        <v>0</v>
      </c>
      <c r="J743" s="174" t="s">
        <v>1561</v>
      </c>
      <c r="K743" s="385" t="s">
        <v>1584</v>
      </c>
    </row>
    <row r="744" spans="2:11" x14ac:dyDescent="0.25">
      <c r="B744" s="516"/>
      <c r="C744" s="60" t="s">
        <v>1585</v>
      </c>
      <c r="D744" s="18" t="s">
        <v>1586</v>
      </c>
      <c r="E744" s="107">
        <f t="shared" si="56"/>
        <v>679</v>
      </c>
      <c r="F744" s="14">
        <f t="shared" si="55"/>
        <v>1</v>
      </c>
      <c r="G744" s="14" t="s">
        <v>45</v>
      </c>
      <c r="H744" s="2">
        <v>1</v>
      </c>
    </row>
    <row r="745" spans="2:11" x14ac:dyDescent="0.25">
      <c r="B745" s="516"/>
      <c r="C745" s="61"/>
      <c r="D745" s="18" t="s">
        <v>1587</v>
      </c>
      <c r="E745" s="107">
        <f t="shared" si="56"/>
        <v>680</v>
      </c>
      <c r="F745" s="14">
        <f t="shared" si="55"/>
        <v>12</v>
      </c>
      <c r="G745" s="14" t="s">
        <v>1559</v>
      </c>
      <c r="H745" s="2">
        <v>12</v>
      </c>
      <c r="J745" s="174" t="s">
        <v>1561</v>
      </c>
      <c r="K745" s="385" t="s">
        <v>1588</v>
      </c>
    </row>
    <row r="746" spans="2:11" x14ac:dyDescent="0.25">
      <c r="B746" s="516"/>
      <c r="C746" s="60" t="s">
        <v>1589</v>
      </c>
      <c r="D746" s="18" t="s">
        <v>1590</v>
      </c>
      <c r="E746" s="107">
        <f t="shared" si="56"/>
        <v>681</v>
      </c>
      <c r="F746" s="14">
        <f t="shared" si="55"/>
        <v>1</v>
      </c>
      <c r="G746" s="14" t="s">
        <v>45</v>
      </c>
      <c r="H746" s="2">
        <v>1</v>
      </c>
    </row>
    <row r="747" spans="2:11" x14ac:dyDescent="0.25">
      <c r="B747" s="516"/>
      <c r="C747" s="61"/>
      <c r="D747" s="18" t="s">
        <v>1591</v>
      </c>
      <c r="E747" s="107">
        <f t="shared" si="56"/>
        <v>682</v>
      </c>
      <c r="F747" s="14">
        <f t="shared" si="55"/>
        <v>12</v>
      </c>
      <c r="G747" s="14" t="s">
        <v>1559</v>
      </c>
      <c r="H747" s="2">
        <v>12</v>
      </c>
      <c r="J747" s="174" t="s">
        <v>1561</v>
      </c>
      <c r="K747" s="385" t="s">
        <v>1592</v>
      </c>
    </row>
    <row r="748" spans="2:11" x14ac:dyDescent="0.25">
      <c r="B748" s="516"/>
      <c r="C748" s="60" t="s">
        <v>1593</v>
      </c>
      <c r="D748" s="18" t="s">
        <v>1594</v>
      </c>
      <c r="E748" s="107">
        <f t="shared" si="56"/>
        <v>683</v>
      </c>
      <c r="F748" s="14">
        <f t="shared" si="55"/>
        <v>1</v>
      </c>
      <c r="G748" s="14" t="s">
        <v>45</v>
      </c>
      <c r="H748" s="2">
        <v>1</v>
      </c>
    </row>
    <row r="749" spans="2:11" x14ac:dyDescent="0.25">
      <c r="B749" s="516"/>
      <c r="C749" s="61"/>
      <c r="D749" s="18" t="s">
        <v>1595</v>
      </c>
      <c r="E749" s="107">
        <f t="shared" si="56"/>
        <v>684</v>
      </c>
      <c r="F749" s="14">
        <f t="shared" si="55"/>
        <v>5</v>
      </c>
      <c r="G749" s="14" t="s">
        <v>1559</v>
      </c>
      <c r="H749" s="2">
        <v>5</v>
      </c>
      <c r="J749" s="174" t="s">
        <v>1561</v>
      </c>
      <c r="K749" s="385" t="s">
        <v>1596</v>
      </c>
    </row>
    <row r="750" spans="2:11" x14ac:dyDescent="0.25">
      <c r="B750" s="516"/>
      <c r="C750" s="60" t="s">
        <v>1597</v>
      </c>
      <c r="D750" s="18" t="s">
        <v>1598</v>
      </c>
      <c r="E750" s="107">
        <f t="shared" si="56"/>
        <v>685</v>
      </c>
      <c r="F750" s="14">
        <f t="shared" si="55"/>
        <v>1</v>
      </c>
      <c r="G750" s="14" t="s">
        <v>45</v>
      </c>
      <c r="H750" s="2">
        <v>1</v>
      </c>
    </row>
    <row r="751" spans="2:11" x14ac:dyDescent="0.25">
      <c r="B751" s="516"/>
      <c r="C751" s="61"/>
      <c r="D751" s="18" t="s">
        <v>1599</v>
      </c>
      <c r="E751" s="107">
        <f t="shared" si="56"/>
        <v>686</v>
      </c>
      <c r="F751" s="14">
        <f t="shared" si="55"/>
        <v>5</v>
      </c>
      <c r="G751" s="14" t="s">
        <v>1559</v>
      </c>
      <c r="H751" s="2">
        <v>5</v>
      </c>
      <c r="J751" s="174" t="s">
        <v>1561</v>
      </c>
      <c r="K751" s="385" t="s">
        <v>1600</v>
      </c>
    </row>
    <row r="752" spans="2:11" x14ac:dyDescent="0.25">
      <c r="B752" s="516"/>
      <c r="C752" s="60" t="s">
        <v>1601</v>
      </c>
      <c r="D752" s="18" t="s">
        <v>1602</v>
      </c>
      <c r="E752" s="107">
        <f t="shared" si="56"/>
        <v>687</v>
      </c>
      <c r="F752" s="14">
        <f t="shared" si="55"/>
        <v>1</v>
      </c>
      <c r="G752" s="14" t="s">
        <v>45</v>
      </c>
      <c r="H752" s="2">
        <v>1</v>
      </c>
    </row>
    <row r="753" spans="2:11" x14ac:dyDescent="0.25">
      <c r="B753" s="516"/>
      <c r="C753" s="61"/>
      <c r="D753" s="18" t="s">
        <v>1603</v>
      </c>
      <c r="E753" s="107">
        <f t="shared" si="56"/>
        <v>688</v>
      </c>
      <c r="F753" s="14">
        <f t="shared" si="55"/>
        <v>6</v>
      </c>
      <c r="G753" s="14" t="s">
        <v>1559</v>
      </c>
      <c r="H753" s="2">
        <v>6</v>
      </c>
      <c r="J753" s="174" t="s">
        <v>1561</v>
      </c>
      <c r="K753" s="385" t="s">
        <v>1604</v>
      </c>
    </row>
    <row r="754" spans="2:11" x14ac:dyDescent="0.25">
      <c r="B754" s="516"/>
      <c r="C754" s="60" t="s">
        <v>1605</v>
      </c>
      <c r="D754" s="18" t="s">
        <v>1606</v>
      </c>
      <c r="E754" s="107">
        <f t="shared" si="56"/>
        <v>689</v>
      </c>
      <c r="F754" s="14">
        <f t="shared" si="55"/>
        <v>0</v>
      </c>
      <c r="G754" s="14" t="s">
        <v>45</v>
      </c>
      <c r="H754" s="2">
        <v>0</v>
      </c>
    </row>
    <row r="755" spans="2:11" x14ac:dyDescent="0.25">
      <c r="B755" s="516"/>
      <c r="C755" s="61"/>
      <c r="D755" s="18" t="s">
        <v>1607</v>
      </c>
      <c r="E755" s="107">
        <f t="shared" si="56"/>
        <v>690</v>
      </c>
      <c r="F755" s="14">
        <f t="shared" si="55"/>
        <v>0</v>
      </c>
      <c r="G755" s="14" t="s">
        <v>1559</v>
      </c>
      <c r="H755" s="2">
        <v>0</v>
      </c>
      <c r="J755" s="174" t="s">
        <v>1561</v>
      </c>
      <c r="K755" s="385" t="s">
        <v>1608</v>
      </c>
    </row>
    <row r="756" spans="2:11" x14ac:dyDescent="0.25">
      <c r="B756" s="516"/>
      <c r="C756" s="60" t="s">
        <v>1609</v>
      </c>
      <c r="D756" s="18" t="s">
        <v>1610</v>
      </c>
      <c r="E756" s="107">
        <f t="shared" si="56"/>
        <v>691</v>
      </c>
      <c r="F756" s="14">
        <f t="shared" si="55"/>
        <v>1</v>
      </c>
      <c r="G756" s="14" t="s">
        <v>45</v>
      </c>
      <c r="H756" s="2">
        <v>1</v>
      </c>
    </row>
    <row r="757" spans="2:11" x14ac:dyDescent="0.25">
      <c r="B757" s="516"/>
      <c r="C757" s="32"/>
      <c r="D757" s="18" t="s">
        <v>1611</v>
      </c>
      <c r="E757" s="107">
        <f t="shared" si="56"/>
        <v>692</v>
      </c>
      <c r="F757" s="14" t="str">
        <f t="shared" si="55"/>
        <v>0rganisasi Pemuda Pua Janggo</v>
      </c>
      <c r="G757" s="14" t="s">
        <v>33</v>
      </c>
      <c r="H757" s="2" t="s">
        <v>1612</v>
      </c>
    </row>
    <row r="758" spans="2:11" x14ac:dyDescent="0.25">
      <c r="B758" s="517"/>
      <c r="C758" s="61"/>
      <c r="D758" s="18" t="s">
        <v>1613</v>
      </c>
      <c r="E758" s="107">
        <f t="shared" si="56"/>
        <v>693</v>
      </c>
      <c r="F758" s="14">
        <f t="shared" si="55"/>
        <v>10</v>
      </c>
      <c r="G758" s="14" t="s">
        <v>1559</v>
      </c>
      <c r="H758" s="2">
        <v>10</v>
      </c>
      <c r="J758" s="174" t="s">
        <v>1561</v>
      </c>
      <c r="K758" s="385" t="s">
        <v>1614</v>
      </c>
    </row>
    <row r="759" spans="2:11" x14ac:dyDescent="0.25">
      <c r="B759" s="514" t="str">
        <f>"S "&amp;(RIGHT(B736,3)+1)</f>
        <v>S 363</v>
      </c>
      <c r="C759" s="18" t="s">
        <v>1615</v>
      </c>
      <c r="D759" s="18" t="s">
        <v>1616</v>
      </c>
      <c r="E759" s="107">
        <f t="shared" si="56"/>
        <v>694</v>
      </c>
      <c r="F759" s="14">
        <f t="shared" si="55"/>
        <v>1</v>
      </c>
      <c r="G759" s="14" t="s">
        <v>45</v>
      </c>
      <c r="H759" s="2">
        <v>1</v>
      </c>
    </row>
    <row r="760" spans="2:11" x14ac:dyDescent="0.25">
      <c r="B760" s="514"/>
      <c r="C760" s="18" t="s">
        <v>1617</v>
      </c>
      <c r="D760" s="18" t="s">
        <v>1618</v>
      </c>
      <c r="E760" s="107">
        <f t="shared" si="56"/>
        <v>695</v>
      </c>
      <c r="F760" s="14">
        <f t="shared" si="55"/>
        <v>82</v>
      </c>
      <c r="G760" s="14" t="s">
        <v>204</v>
      </c>
      <c r="H760" s="2">
        <v>82</v>
      </c>
      <c r="J760" s="174" t="s">
        <v>1271</v>
      </c>
      <c r="K760" s="385" t="s">
        <v>1619</v>
      </c>
    </row>
    <row r="761" spans="2:11" x14ac:dyDescent="0.25">
      <c r="B761" s="514"/>
      <c r="C761" s="18" t="s">
        <v>1620</v>
      </c>
      <c r="D761" s="18" t="s">
        <v>1621</v>
      </c>
      <c r="E761" s="107">
        <f t="shared" si="56"/>
        <v>696</v>
      </c>
      <c r="F761" s="14">
        <f t="shared" si="55"/>
        <v>12</v>
      </c>
      <c r="G761" s="14" t="s">
        <v>1559</v>
      </c>
      <c r="H761" s="2">
        <v>12</v>
      </c>
      <c r="J761" s="174" t="s">
        <v>1561</v>
      </c>
      <c r="K761" s="385" t="s">
        <v>1619</v>
      </c>
    </row>
    <row r="762" spans="2:11" x14ac:dyDescent="0.25">
      <c r="B762" s="514"/>
      <c r="C762" s="18" t="s">
        <v>1622</v>
      </c>
      <c r="D762" s="18" t="s">
        <v>1623</v>
      </c>
      <c r="E762" s="107">
        <f t="shared" si="56"/>
        <v>697</v>
      </c>
      <c r="F762" s="14">
        <f t="shared" si="55"/>
        <v>1</v>
      </c>
      <c r="G762" s="14" t="s">
        <v>45</v>
      </c>
      <c r="H762" s="2">
        <v>1</v>
      </c>
    </row>
    <row r="763" spans="2:11" x14ac:dyDescent="0.25">
      <c r="B763" s="514"/>
      <c r="C763" s="18" t="s">
        <v>1624</v>
      </c>
      <c r="D763" s="18" t="s">
        <v>1625</v>
      </c>
      <c r="E763" s="107">
        <f t="shared" si="56"/>
        <v>698</v>
      </c>
      <c r="F763" s="14">
        <f t="shared" si="55"/>
        <v>53</v>
      </c>
      <c r="G763" s="14" t="s">
        <v>204</v>
      </c>
      <c r="H763" s="2">
        <v>53</v>
      </c>
      <c r="J763" s="174" t="s">
        <v>1626</v>
      </c>
      <c r="K763" s="385" t="s">
        <v>1627</v>
      </c>
    </row>
    <row r="764" spans="2:11" x14ac:dyDescent="0.25">
      <c r="B764" s="269" t="str">
        <f>"S "&amp;(RIGHT(B759,3)+1)</f>
        <v>S 364</v>
      </c>
      <c r="C764" s="18" t="s">
        <v>1628</v>
      </c>
      <c r="D764" s="18" t="s">
        <v>1629</v>
      </c>
      <c r="E764" s="185">
        <f t="shared" si="56"/>
        <v>699</v>
      </c>
      <c r="F764" s="183"/>
      <c r="G764" s="183" t="s">
        <v>1630</v>
      </c>
      <c r="H764" s="188" t="s">
        <v>1631</v>
      </c>
      <c r="J764" s="174" t="s">
        <v>1292</v>
      </c>
    </row>
    <row r="765" spans="2:11" x14ac:dyDescent="0.25">
      <c r="B765" s="269" t="str">
        <f>"S "&amp;(RIGHT(B764,3)+1)</f>
        <v>S 365</v>
      </c>
      <c r="C765" s="18" t="s">
        <v>1632</v>
      </c>
      <c r="D765" s="18" t="s">
        <v>1633</v>
      </c>
      <c r="E765" s="185">
        <f t="shared" ref="E765:E800" si="57">E764+1</f>
        <v>700</v>
      </c>
      <c r="F765" s="183">
        <f t="shared" ref="F765:F800" si="58">H765</f>
        <v>10</v>
      </c>
      <c r="G765" s="183" t="s">
        <v>1634</v>
      </c>
      <c r="H765" s="188">
        <v>10</v>
      </c>
      <c r="J765" s="174" t="s">
        <v>1292</v>
      </c>
    </row>
    <row r="766" spans="2:11" x14ac:dyDescent="0.25">
      <c r="B766" s="515" t="str">
        <f>"S "&amp;(RIGHT(B765,3)+1)</f>
        <v>S 366</v>
      </c>
      <c r="C766" s="184" t="s">
        <v>1635</v>
      </c>
      <c r="D766" s="184" t="s">
        <v>1636</v>
      </c>
      <c r="E766" s="185">
        <f t="shared" si="57"/>
        <v>701</v>
      </c>
      <c r="F766" s="183">
        <f t="shared" si="58"/>
        <v>4</v>
      </c>
      <c r="G766" s="183" t="s">
        <v>1637</v>
      </c>
      <c r="H766" s="188">
        <f>$H$767+$H$768+$H$769+$H$770+$H$771+$H$772</f>
        <v>4</v>
      </c>
      <c r="I766" s="187" t="s">
        <v>1638</v>
      </c>
    </row>
    <row r="767" spans="2:11" x14ac:dyDescent="0.25">
      <c r="B767" s="516"/>
      <c r="C767" s="18" t="s">
        <v>1639</v>
      </c>
      <c r="D767" s="18" t="s">
        <v>1640</v>
      </c>
      <c r="E767" s="107">
        <f t="shared" si="57"/>
        <v>702</v>
      </c>
      <c r="F767" s="14">
        <f t="shared" si="58"/>
        <v>1</v>
      </c>
      <c r="G767" s="14" t="s">
        <v>1048</v>
      </c>
      <c r="H767" s="2">
        <v>1</v>
      </c>
      <c r="J767" s="174" t="s">
        <v>1641</v>
      </c>
    </row>
    <row r="768" spans="2:11" x14ac:dyDescent="0.25">
      <c r="B768" s="516"/>
      <c r="C768" s="18" t="s">
        <v>1642</v>
      </c>
      <c r="D768" s="18" t="s">
        <v>1643</v>
      </c>
      <c r="E768" s="107">
        <f t="shared" si="57"/>
        <v>703</v>
      </c>
      <c r="F768" s="14">
        <f t="shared" si="58"/>
        <v>1</v>
      </c>
      <c r="G768" s="14" t="s">
        <v>1048</v>
      </c>
      <c r="H768" s="2">
        <v>1</v>
      </c>
      <c r="J768" s="174" t="s">
        <v>1243</v>
      </c>
    </row>
    <row r="769" spans="2:11" x14ac:dyDescent="0.25">
      <c r="B769" s="516"/>
      <c r="C769" s="18" t="s">
        <v>1644</v>
      </c>
      <c r="D769" s="18" t="s">
        <v>1645</v>
      </c>
      <c r="E769" s="107">
        <f t="shared" si="57"/>
        <v>704</v>
      </c>
      <c r="F769" s="14">
        <f t="shared" si="58"/>
        <v>1</v>
      </c>
      <c r="G769" s="14" t="s">
        <v>1048</v>
      </c>
      <c r="H769" s="2">
        <v>1</v>
      </c>
      <c r="J769" s="174" t="s">
        <v>1243</v>
      </c>
    </row>
    <row r="770" spans="2:11" x14ac:dyDescent="0.25">
      <c r="B770" s="516"/>
      <c r="C770" s="18" t="s">
        <v>1646</v>
      </c>
      <c r="D770" s="18" t="s">
        <v>1647</v>
      </c>
      <c r="E770" s="107">
        <f t="shared" si="57"/>
        <v>705</v>
      </c>
      <c r="F770" s="14">
        <f t="shared" si="58"/>
        <v>1</v>
      </c>
      <c r="G770" s="14" t="s">
        <v>1048</v>
      </c>
      <c r="H770" s="2">
        <v>1</v>
      </c>
      <c r="J770" s="174" t="s">
        <v>1243</v>
      </c>
    </row>
    <row r="771" spans="2:11" x14ac:dyDescent="0.25">
      <c r="B771" s="516"/>
      <c r="C771" s="18" t="s">
        <v>1648</v>
      </c>
      <c r="D771" s="18" t="s">
        <v>1649</v>
      </c>
      <c r="E771" s="107">
        <f t="shared" si="57"/>
        <v>706</v>
      </c>
      <c r="F771" s="14">
        <f t="shared" si="58"/>
        <v>0</v>
      </c>
      <c r="G771" s="14" t="s">
        <v>1048</v>
      </c>
      <c r="H771" s="2">
        <v>0</v>
      </c>
      <c r="J771" s="174" t="s">
        <v>1243</v>
      </c>
    </row>
    <row r="772" spans="2:11" x14ac:dyDescent="0.25">
      <c r="B772" s="516"/>
      <c r="C772" s="18" t="s">
        <v>1650</v>
      </c>
      <c r="D772" s="18" t="s">
        <v>1651</v>
      </c>
      <c r="E772" s="107">
        <f t="shared" si="57"/>
        <v>707</v>
      </c>
      <c r="F772" s="14">
        <f t="shared" si="58"/>
        <v>0</v>
      </c>
      <c r="G772" s="14" t="s">
        <v>1048</v>
      </c>
      <c r="H772" s="2">
        <v>0</v>
      </c>
      <c r="J772" s="174" t="s">
        <v>1243</v>
      </c>
    </row>
    <row r="773" spans="2:11" x14ac:dyDescent="0.25">
      <c r="B773" s="516"/>
      <c r="C773" s="18" t="s">
        <v>1652</v>
      </c>
      <c r="D773" s="18" t="s">
        <v>1653</v>
      </c>
      <c r="E773" s="107">
        <f t="shared" si="57"/>
        <v>708</v>
      </c>
      <c r="F773" s="14">
        <f t="shared" si="58"/>
        <v>0</v>
      </c>
      <c r="G773" s="14" t="s">
        <v>33</v>
      </c>
      <c r="H773" s="2">
        <v>0</v>
      </c>
    </row>
    <row r="774" spans="2:11" x14ac:dyDescent="0.25">
      <c r="B774" s="516"/>
      <c r="C774" s="18" t="s">
        <v>1654</v>
      </c>
      <c r="D774" s="18" t="s">
        <v>1655</v>
      </c>
      <c r="E774" s="107">
        <f t="shared" si="57"/>
        <v>709</v>
      </c>
      <c r="F774" s="14">
        <f t="shared" si="58"/>
        <v>1</v>
      </c>
      <c r="G774" s="14" t="s">
        <v>45</v>
      </c>
      <c r="H774" s="2">
        <v>1</v>
      </c>
    </row>
    <row r="775" spans="2:11" ht="24" customHeight="1" x14ac:dyDescent="0.25">
      <c r="B775" s="517"/>
      <c r="C775" s="18" t="s">
        <v>1656</v>
      </c>
      <c r="D775" s="18" t="s">
        <v>1657</v>
      </c>
      <c r="E775" s="107">
        <f t="shared" si="57"/>
        <v>710</v>
      </c>
      <c r="F775" s="14">
        <f t="shared" si="58"/>
        <v>4</v>
      </c>
      <c r="G775" s="14" t="s">
        <v>262</v>
      </c>
      <c r="H775" s="2">
        <v>4</v>
      </c>
      <c r="I775" s="173" t="s">
        <v>1658</v>
      </c>
      <c r="J775" s="174" t="s">
        <v>1423</v>
      </c>
      <c r="K775" s="385" t="s">
        <v>1659</v>
      </c>
    </row>
    <row r="776" spans="2:11" x14ac:dyDescent="0.25">
      <c r="B776" s="269" t="str">
        <f>"S "&amp;(RIGHT(B766,3)+1)</f>
        <v>S 367</v>
      </c>
      <c r="C776" s="18" t="s">
        <v>1660</v>
      </c>
      <c r="D776" s="18" t="s">
        <v>1661</v>
      </c>
      <c r="E776" s="107">
        <f t="shared" si="57"/>
        <v>711</v>
      </c>
      <c r="F776" s="14">
        <f t="shared" si="58"/>
        <v>6</v>
      </c>
      <c r="G776" s="14" t="s">
        <v>1662</v>
      </c>
      <c r="H776" s="2">
        <v>6</v>
      </c>
      <c r="I776" s="173" t="s">
        <v>1663</v>
      </c>
      <c r="J776" s="174" t="s">
        <v>1243</v>
      </c>
    </row>
    <row r="777" spans="2:11" x14ac:dyDescent="0.25">
      <c r="B777" s="269" t="str">
        <f>"S "&amp;(RIGHT(B776,3)+1)</f>
        <v>S 368</v>
      </c>
      <c r="C777" s="18" t="s">
        <v>1664</v>
      </c>
      <c r="D777" s="18" t="s">
        <v>1665</v>
      </c>
      <c r="E777" s="107">
        <f t="shared" si="57"/>
        <v>712</v>
      </c>
      <c r="F777" s="14">
        <f t="shared" si="58"/>
        <v>3</v>
      </c>
      <c r="G777" s="14" t="s">
        <v>1666</v>
      </c>
      <c r="H777" s="2">
        <v>3</v>
      </c>
      <c r="I777" s="173" t="s">
        <v>1667</v>
      </c>
      <c r="J777" s="174" t="s">
        <v>1243</v>
      </c>
    </row>
    <row r="778" spans="2:11" x14ac:dyDescent="0.25">
      <c r="B778" s="515" t="str">
        <f>"S "&amp;(RIGHT(B777,3)+1)</f>
        <v>S 369</v>
      </c>
      <c r="C778" s="18" t="s">
        <v>1668</v>
      </c>
      <c r="D778" s="18" t="s">
        <v>1669</v>
      </c>
      <c r="E778" s="107">
        <f t="shared" si="57"/>
        <v>713</v>
      </c>
      <c r="F778" s="14">
        <f t="shared" si="58"/>
        <v>1</v>
      </c>
      <c r="G778" s="14" t="s">
        <v>45</v>
      </c>
      <c r="H778" s="2">
        <v>1</v>
      </c>
      <c r="I778" s="173" t="s">
        <v>1670</v>
      </c>
      <c r="J778" s="385" t="str">
        <f>IF(H778=1,"Islam","")</f>
        <v>Islam</v>
      </c>
    </row>
    <row r="779" spans="2:11" x14ac:dyDescent="0.25">
      <c r="B779" s="516"/>
      <c r="C779" s="18" t="s">
        <v>1671</v>
      </c>
      <c r="D779" s="18" t="s">
        <v>1672</v>
      </c>
      <c r="E779" s="107">
        <f t="shared" si="57"/>
        <v>714</v>
      </c>
      <c r="F779" s="14">
        <f t="shared" si="58"/>
        <v>1</v>
      </c>
      <c r="G779" s="14" t="s">
        <v>45</v>
      </c>
      <c r="H779" s="2">
        <v>1</v>
      </c>
      <c r="I779" s="173" t="s">
        <v>1670</v>
      </c>
      <c r="J779" s="385" t="str">
        <f>IF(H779=1,"Kristen","")</f>
        <v>Kristen</v>
      </c>
    </row>
    <row r="780" spans="2:11" x14ac:dyDescent="0.25">
      <c r="B780" s="516"/>
      <c r="C780" s="18" t="s">
        <v>1673</v>
      </c>
      <c r="D780" s="18" t="s">
        <v>1674</v>
      </c>
      <c r="E780" s="107">
        <f t="shared" si="57"/>
        <v>715</v>
      </c>
      <c r="F780" s="14">
        <f t="shared" si="58"/>
        <v>1</v>
      </c>
      <c r="G780" s="14" t="s">
        <v>45</v>
      </c>
      <c r="H780" s="2">
        <v>1</v>
      </c>
      <c r="I780" s="173" t="s">
        <v>1670</v>
      </c>
      <c r="J780" s="385" t="str">
        <f>IF(H780=1,"Katolik","")</f>
        <v>Katolik</v>
      </c>
    </row>
    <row r="781" spans="2:11" x14ac:dyDescent="0.25">
      <c r="B781" s="516"/>
      <c r="C781" s="18" t="s">
        <v>1675</v>
      </c>
      <c r="D781" s="18" t="s">
        <v>1676</v>
      </c>
      <c r="E781" s="107">
        <f t="shared" si="57"/>
        <v>716</v>
      </c>
      <c r="F781" s="14">
        <f t="shared" si="58"/>
        <v>0</v>
      </c>
      <c r="G781" s="14" t="s">
        <v>45</v>
      </c>
      <c r="H781" s="2">
        <v>0</v>
      </c>
      <c r="I781" s="173" t="s">
        <v>1670</v>
      </c>
      <c r="J781" s="385" t="str">
        <f>IF(H781=1,"Budha","")</f>
        <v/>
      </c>
    </row>
    <row r="782" spans="2:11" x14ac:dyDescent="0.25">
      <c r="B782" s="516"/>
      <c r="C782" s="18" t="s">
        <v>1677</v>
      </c>
      <c r="D782" s="18" t="s">
        <v>1678</v>
      </c>
      <c r="E782" s="107">
        <f t="shared" si="57"/>
        <v>717</v>
      </c>
      <c r="F782" s="14">
        <f t="shared" si="58"/>
        <v>0</v>
      </c>
      <c r="G782" s="14" t="s">
        <v>45</v>
      </c>
      <c r="H782" s="2">
        <v>0</v>
      </c>
      <c r="I782" s="173" t="s">
        <v>1670</v>
      </c>
      <c r="J782" s="385" t="str">
        <f>IF(H782=1,"Hindu","")</f>
        <v/>
      </c>
    </row>
    <row r="783" spans="2:11" x14ac:dyDescent="0.25">
      <c r="B783" s="516"/>
      <c r="C783" s="18" t="s">
        <v>1679</v>
      </c>
      <c r="D783" s="18" t="s">
        <v>1680</v>
      </c>
      <c r="E783" s="107">
        <f t="shared" si="57"/>
        <v>718</v>
      </c>
      <c r="F783" s="14">
        <f t="shared" si="58"/>
        <v>0</v>
      </c>
      <c r="G783" s="14" t="s">
        <v>45</v>
      </c>
      <c r="H783" s="2">
        <v>0</v>
      </c>
      <c r="I783" s="173" t="s">
        <v>1670</v>
      </c>
      <c r="J783" s="385" t="str">
        <f>IF(H783=1,"Konghucu","")</f>
        <v/>
      </c>
    </row>
    <row r="784" spans="2:11" x14ac:dyDescent="0.25">
      <c r="B784" s="516"/>
      <c r="C784" s="522" t="s">
        <v>1681</v>
      </c>
      <c r="D784" s="18" t="s">
        <v>1682</v>
      </c>
      <c r="E784" s="107">
        <f t="shared" si="57"/>
        <v>719</v>
      </c>
      <c r="F784" s="14">
        <f t="shared" si="58"/>
        <v>0</v>
      </c>
      <c r="G784" s="14" t="s">
        <v>45</v>
      </c>
      <c r="H784" s="2">
        <v>0</v>
      </c>
      <c r="I784" s="173" t="s">
        <v>1670</v>
      </c>
      <c r="J784" s="385" t="str">
        <f>IF(H784=1,"Lainnya","")</f>
        <v/>
      </c>
    </row>
    <row r="785" spans="2:11" x14ac:dyDescent="0.25">
      <c r="B785" s="517"/>
      <c r="C785" s="523"/>
      <c r="D785" s="18" t="s">
        <v>1683</v>
      </c>
      <c r="E785" s="107">
        <f t="shared" si="57"/>
        <v>720</v>
      </c>
      <c r="F785" s="14" t="str">
        <f t="shared" si="58"/>
        <v>Tidak Ada</v>
      </c>
      <c r="G785" s="14" t="s">
        <v>33</v>
      </c>
      <c r="H785" s="2" t="s">
        <v>64</v>
      </c>
    </row>
    <row r="786" spans="2:11" x14ac:dyDescent="0.25">
      <c r="B786" s="515" t="str">
        <f>"S "&amp;(RIGHT(B778,3)+1)</f>
        <v>S 370</v>
      </c>
      <c r="C786" s="18" t="s">
        <v>1684</v>
      </c>
      <c r="D786" s="18" t="s">
        <v>1685</v>
      </c>
      <c r="E786" s="107">
        <f t="shared" si="57"/>
        <v>721</v>
      </c>
      <c r="F786" s="14">
        <f t="shared" si="58"/>
        <v>1</v>
      </c>
      <c r="G786" s="14" t="s">
        <v>45</v>
      </c>
      <c r="H786" s="2">
        <v>1</v>
      </c>
    </row>
    <row r="787" spans="2:11" x14ac:dyDescent="0.25">
      <c r="B787" s="516"/>
      <c r="C787" s="18" t="s">
        <v>1686</v>
      </c>
      <c r="D787" s="18" t="s">
        <v>1687</v>
      </c>
      <c r="E787" s="107">
        <f t="shared" si="57"/>
        <v>722</v>
      </c>
      <c r="F787" s="14">
        <f t="shared" si="58"/>
        <v>0</v>
      </c>
      <c r="G787" s="14" t="s">
        <v>45</v>
      </c>
      <c r="H787" s="2">
        <v>0</v>
      </c>
    </row>
    <row r="788" spans="2:11" x14ac:dyDescent="0.25">
      <c r="B788" s="516"/>
      <c r="C788" s="18" t="s">
        <v>1688</v>
      </c>
      <c r="D788" s="18" t="s">
        <v>1689</v>
      </c>
      <c r="E788" s="107">
        <f t="shared" si="57"/>
        <v>723</v>
      </c>
      <c r="F788" s="14">
        <f t="shared" si="58"/>
        <v>0</v>
      </c>
      <c r="G788" s="14" t="s">
        <v>45</v>
      </c>
      <c r="H788" s="2">
        <v>0</v>
      </c>
    </row>
    <row r="789" spans="2:11" x14ac:dyDescent="0.25">
      <c r="B789" s="516"/>
      <c r="C789" s="18" t="s">
        <v>1690</v>
      </c>
      <c r="D789" s="18" t="s">
        <v>1691</v>
      </c>
      <c r="E789" s="107">
        <f t="shared" si="57"/>
        <v>724</v>
      </c>
      <c r="F789" s="14">
        <f t="shared" si="58"/>
        <v>0</v>
      </c>
      <c r="G789" s="14" t="s">
        <v>45</v>
      </c>
      <c r="H789" s="2">
        <v>0</v>
      </c>
    </row>
    <row r="790" spans="2:11" x14ac:dyDescent="0.25">
      <c r="B790" s="516"/>
      <c r="C790" s="18" t="s">
        <v>1692</v>
      </c>
      <c r="D790" s="18" t="s">
        <v>1693</v>
      </c>
      <c r="E790" s="107">
        <f t="shared" si="57"/>
        <v>725</v>
      </c>
      <c r="F790" s="14">
        <f t="shared" si="58"/>
        <v>0</v>
      </c>
      <c r="G790" s="14" t="s">
        <v>45</v>
      </c>
      <c r="H790" s="2">
        <v>0</v>
      </c>
    </row>
    <row r="791" spans="2:11" x14ac:dyDescent="0.25">
      <c r="B791" s="517"/>
      <c r="C791" s="18" t="s">
        <v>1694</v>
      </c>
      <c r="D791" s="18" t="s">
        <v>1695</v>
      </c>
      <c r="E791" s="107">
        <f t="shared" si="57"/>
        <v>726</v>
      </c>
      <c r="F791" s="14">
        <f t="shared" si="58"/>
        <v>0</v>
      </c>
      <c r="G791" s="14" t="s">
        <v>45</v>
      </c>
      <c r="H791" s="2">
        <v>0</v>
      </c>
    </row>
    <row r="792" spans="2:11" x14ac:dyDescent="0.25">
      <c r="B792" s="269" t="str">
        <f>"S "&amp;(RIGHT(B786,3)+1)</f>
        <v>S 371</v>
      </c>
      <c r="C792" s="18" t="s">
        <v>1696</v>
      </c>
      <c r="D792" s="18" t="s">
        <v>1697</v>
      </c>
      <c r="E792" s="107">
        <f t="shared" si="57"/>
        <v>727</v>
      </c>
      <c r="F792" s="14">
        <f t="shared" si="58"/>
        <v>1</v>
      </c>
      <c r="G792" s="14" t="s">
        <v>45</v>
      </c>
      <c r="H792" s="2">
        <v>1</v>
      </c>
      <c r="K792" s="174" t="s">
        <v>1698</v>
      </c>
    </row>
    <row r="793" spans="2:11" x14ac:dyDescent="0.25">
      <c r="B793" s="515" t="str">
        <f>"S "&amp;(RIGHT(B792,3)+1)</f>
        <v>S 372</v>
      </c>
      <c r="C793" s="18" t="s">
        <v>1699</v>
      </c>
      <c r="D793" s="18" t="s">
        <v>1700</v>
      </c>
      <c r="E793" s="107">
        <f t="shared" si="57"/>
        <v>728</v>
      </c>
      <c r="F793" s="14">
        <f t="shared" si="58"/>
        <v>0</v>
      </c>
      <c r="G793" s="14" t="s">
        <v>45</v>
      </c>
      <c r="H793" s="2">
        <v>0</v>
      </c>
    </row>
    <row r="794" spans="2:11" x14ac:dyDescent="0.25">
      <c r="B794" s="516"/>
      <c r="C794" s="18" t="s">
        <v>1701</v>
      </c>
      <c r="D794" s="18" t="s">
        <v>1702</v>
      </c>
      <c r="E794" s="107">
        <f t="shared" si="57"/>
        <v>729</v>
      </c>
      <c r="F794" s="14">
        <f t="shared" si="58"/>
        <v>0</v>
      </c>
      <c r="G794" s="14" t="s">
        <v>1559</v>
      </c>
      <c r="H794" s="2">
        <v>0</v>
      </c>
      <c r="J794" s="174" t="s">
        <v>1703</v>
      </c>
      <c r="K794" s="385" t="s">
        <v>1704</v>
      </c>
    </row>
    <row r="795" spans="2:11" x14ac:dyDescent="0.25">
      <c r="B795" s="517"/>
      <c r="C795" s="18" t="s">
        <v>1705</v>
      </c>
      <c r="D795" s="18" t="s">
        <v>1706</v>
      </c>
      <c r="E795" s="107">
        <f t="shared" si="57"/>
        <v>730</v>
      </c>
      <c r="F795" s="14">
        <f t="shared" si="58"/>
        <v>0</v>
      </c>
      <c r="G795" s="14" t="s">
        <v>262</v>
      </c>
      <c r="H795" s="2">
        <v>0</v>
      </c>
      <c r="J795" s="174" t="s">
        <v>1707</v>
      </c>
      <c r="K795" s="385" t="s">
        <v>1704</v>
      </c>
    </row>
    <row r="796" spans="2:11" x14ac:dyDescent="0.25">
      <c r="B796" s="515" t="str">
        <f>"S "&amp;(RIGHT(B793,3)+1)</f>
        <v>S 373</v>
      </c>
      <c r="C796" s="18" t="s">
        <v>1708</v>
      </c>
      <c r="D796" s="18" t="s">
        <v>1709</v>
      </c>
      <c r="E796" s="107">
        <f t="shared" si="57"/>
        <v>731</v>
      </c>
      <c r="F796" s="14">
        <f t="shared" si="58"/>
        <v>1</v>
      </c>
      <c r="G796" s="14" t="s">
        <v>45</v>
      </c>
      <c r="H796" s="2">
        <v>1</v>
      </c>
    </row>
    <row r="797" spans="2:11" x14ac:dyDescent="0.25">
      <c r="B797" s="516"/>
      <c r="C797" s="18" t="s">
        <v>1710</v>
      </c>
      <c r="D797" s="18" t="s">
        <v>1711</v>
      </c>
      <c r="E797" s="107">
        <f t="shared" si="57"/>
        <v>732</v>
      </c>
      <c r="F797" s="14">
        <f t="shared" si="58"/>
        <v>0</v>
      </c>
      <c r="G797" s="14" t="s">
        <v>45</v>
      </c>
      <c r="H797" s="2">
        <v>0</v>
      </c>
    </row>
    <row r="798" spans="2:11" x14ac:dyDescent="0.25">
      <c r="B798" s="516"/>
      <c r="C798" s="18" t="s">
        <v>1712</v>
      </c>
      <c r="D798" s="18" t="s">
        <v>1713</v>
      </c>
      <c r="E798" s="107">
        <f t="shared" si="57"/>
        <v>733</v>
      </c>
      <c r="F798" s="14">
        <f t="shared" si="58"/>
        <v>1</v>
      </c>
      <c r="G798" s="14" t="s">
        <v>45</v>
      </c>
      <c r="H798" s="2">
        <v>1</v>
      </c>
    </row>
    <row r="799" spans="2:11" x14ac:dyDescent="0.25">
      <c r="B799" s="516"/>
      <c r="C799" s="60" t="s">
        <v>1714</v>
      </c>
      <c r="D799" s="18" t="s">
        <v>1715</v>
      </c>
      <c r="E799" s="107">
        <f t="shared" si="57"/>
        <v>734</v>
      </c>
      <c r="F799" s="14">
        <f t="shared" si="58"/>
        <v>1</v>
      </c>
      <c r="G799" s="14" t="s">
        <v>45</v>
      </c>
      <c r="H799" s="2">
        <v>1</v>
      </c>
    </row>
    <row r="800" spans="2:11" x14ac:dyDescent="0.25">
      <c r="B800" s="517"/>
      <c r="C800" s="61"/>
      <c r="D800" s="18" t="s">
        <v>1716</v>
      </c>
      <c r="E800" s="107">
        <f t="shared" si="57"/>
        <v>735</v>
      </c>
      <c r="F800" s="14" t="str">
        <f t="shared" si="58"/>
        <v>Maulid</v>
      </c>
      <c r="G800" s="14" t="s">
        <v>33</v>
      </c>
      <c r="H800" s="2" t="s">
        <v>1717</v>
      </c>
    </row>
    <row r="801" spans="2:11" x14ac:dyDescent="0.25">
      <c r="B801" s="269"/>
      <c r="C801" s="46" t="s">
        <v>1718</v>
      </c>
      <c r="D801" s="47"/>
      <c r="E801" s="105"/>
      <c r="F801" s="14"/>
      <c r="G801" s="14"/>
    </row>
    <row r="802" spans="2:11" x14ac:dyDescent="0.25">
      <c r="B802" s="269" t="str">
        <f>"S "&amp;(RIGHT(B796,3)+1)</f>
        <v>S 374</v>
      </c>
      <c r="C802" s="18" t="s">
        <v>1719</v>
      </c>
      <c r="D802" s="18" t="s">
        <v>1720</v>
      </c>
      <c r="E802" s="107">
        <f>E800+1</f>
        <v>736</v>
      </c>
      <c r="F802" s="14">
        <f t="shared" ref="F802:F838" si="59">H802</f>
        <v>1</v>
      </c>
      <c r="G802" s="14" t="s">
        <v>45</v>
      </c>
      <c r="H802" s="2">
        <v>1</v>
      </c>
      <c r="I802" s="173" t="s">
        <v>1721</v>
      </c>
    </row>
    <row r="803" spans="2:11" x14ac:dyDescent="0.25">
      <c r="B803" s="269" t="str">
        <f>"S "&amp;(RIGHT(B802,3)+1)</f>
        <v>S 375</v>
      </c>
      <c r="C803" s="18" t="s">
        <v>1722</v>
      </c>
      <c r="D803" s="18" t="s">
        <v>1723</v>
      </c>
      <c r="E803" s="107">
        <f t="shared" ref="E803:E838" si="60">E802+1</f>
        <v>737</v>
      </c>
      <c r="F803" s="14">
        <f t="shared" si="59"/>
        <v>1</v>
      </c>
      <c r="G803" s="14" t="s">
        <v>45</v>
      </c>
      <c r="H803" s="2">
        <v>1</v>
      </c>
    </row>
    <row r="804" spans="2:11" x14ac:dyDescent="0.25">
      <c r="B804" s="515" t="str">
        <f>"S "&amp;(RIGHT(B803,3)+1)</f>
        <v>S 376</v>
      </c>
      <c r="C804" s="18" t="s">
        <v>1724</v>
      </c>
      <c r="D804" s="18" t="s">
        <v>1725</v>
      </c>
      <c r="E804" s="107">
        <f t="shared" si="60"/>
        <v>738</v>
      </c>
      <c r="F804" s="14">
        <f t="shared" si="59"/>
        <v>1</v>
      </c>
      <c r="G804" s="14" t="s">
        <v>45</v>
      </c>
      <c r="H804" s="2">
        <v>1</v>
      </c>
      <c r="I804" s="173" t="s">
        <v>1726</v>
      </c>
    </row>
    <row r="805" spans="2:11" x14ac:dyDescent="0.25">
      <c r="B805" s="516"/>
      <c r="C805" s="18" t="s">
        <v>1727</v>
      </c>
      <c r="D805" s="18" t="s">
        <v>1728</v>
      </c>
      <c r="E805" s="107">
        <f t="shared" si="60"/>
        <v>739</v>
      </c>
      <c r="F805" s="14">
        <f t="shared" si="59"/>
        <v>0</v>
      </c>
      <c r="G805" s="14" t="s">
        <v>1729</v>
      </c>
      <c r="H805" s="2">
        <v>0</v>
      </c>
      <c r="J805" s="174" t="s">
        <v>1235</v>
      </c>
      <c r="K805" s="385" t="s">
        <v>1730</v>
      </c>
    </row>
    <row r="806" spans="2:11" x14ac:dyDescent="0.25">
      <c r="B806" s="516"/>
      <c r="C806" s="18" t="s">
        <v>1731</v>
      </c>
      <c r="D806" s="18" t="s">
        <v>1732</v>
      </c>
      <c r="E806" s="107">
        <f t="shared" si="60"/>
        <v>740</v>
      </c>
      <c r="F806" s="14">
        <f t="shared" si="59"/>
        <v>0</v>
      </c>
      <c r="G806" s="14" t="s">
        <v>1729</v>
      </c>
      <c r="H806" s="2">
        <v>0</v>
      </c>
      <c r="J806" s="174" t="s">
        <v>1235</v>
      </c>
      <c r="K806" s="385" t="s">
        <v>1730</v>
      </c>
    </row>
    <row r="807" spans="2:11" x14ac:dyDescent="0.25">
      <c r="B807" s="516"/>
      <c r="C807" s="18" t="s">
        <v>1733</v>
      </c>
      <c r="D807" s="18" t="s">
        <v>1734</v>
      </c>
      <c r="E807" s="107">
        <f t="shared" si="60"/>
        <v>741</v>
      </c>
      <c r="F807" s="14">
        <f t="shared" si="59"/>
        <v>0</v>
      </c>
      <c r="G807" s="14" t="s">
        <v>1729</v>
      </c>
      <c r="H807" s="2">
        <v>0</v>
      </c>
      <c r="J807" s="174" t="s">
        <v>1235</v>
      </c>
      <c r="K807" s="385" t="s">
        <v>1730</v>
      </c>
    </row>
    <row r="808" spans="2:11" x14ac:dyDescent="0.25">
      <c r="B808" s="516"/>
      <c r="C808" s="18" t="s">
        <v>1735</v>
      </c>
      <c r="D808" s="18" t="s">
        <v>1736</v>
      </c>
      <c r="E808" s="107">
        <f t="shared" si="60"/>
        <v>742</v>
      </c>
      <c r="F808" s="14">
        <f t="shared" si="59"/>
        <v>0</v>
      </c>
      <c r="G808" s="14" t="s">
        <v>1729</v>
      </c>
      <c r="H808" s="2">
        <v>0</v>
      </c>
      <c r="J808" s="174" t="s">
        <v>1235</v>
      </c>
      <c r="K808" s="385" t="s">
        <v>1730</v>
      </c>
    </row>
    <row r="809" spans="2:11" x14ac:dyDescent="0.25">
      <c r="B809" s="516"/>
      <c r="C809" s="18" t="s">
        <v>1737</v>
      </c>
      <c r="D809" s="18" t="s">
        <v>1738</v>
      </c>
      <c r="E809" s="107">
        <f t="shared" si="60"/>
        <v>743</v>
      </c>
      <c r="F809" s="14">
        <f t="shared" si="59"/>
        <v>0</v>
      </c>
      <c r="G809" s="14" t="s">
        <v>1729</v>
      </c>
      <c r="H809" s="2">
        <v>0</v>
      </c>
      <c r="J809" s="174" t="s">
        <v>1235</v>
      </c>
      <c r="K809" s="385" t="s">
        <v>1730</v>
      </c>
    </row>
    <row r="810" spans="2:11" x14ac:dyDescent="0.25">
      <c r="B810" s="516"/>
      <c r="C810" s="18" t="s">
        <v>1739</v>
      </c>
      <c r="D810" s="18" t="s">
        <v>1740</v>
      </c>
      <c r="E810" s="107">
        <f t="shared" si="60"/>
        <v>744</v>
      </c>
      <c r="F810" s="14">
        <f t="shared" si="59"/>
        <v>0</v>
      </c>
      <c r="G810" s="14" t="s">
        <v>1729</v>
      </c>
      <c r="H810" s="2">
        <v>0</v>
      </c>
      <c r="J810" s="174" t="s">
        <v>1235</v>
      </c>
      <c r="K810" s="385" t="s">
        <v>1730</v>
      </c>
    </row>
    <row r="811" spans="2:11" x14ac:dyDescent="0.25">
      <c r="B811" s="516"/>
      <c r="C811" s="18" t="s">
        <v>1741</v>
      </c>
      <c r="D811" s="18" t="s">
        <v>1742</v>
      </c>
      <c r="E811" s="107">
        <f t="shared" si="60"/>
        <v>745</v>
      </c>
      <c r="F811" s="14">
        <f t="shared" si="59"/>
        <v>0</v>
      </c>
      <c r="G811" s="14" t="s">
        <v>1729</v>
      </c>
      <c r="H811" s="2">
        <v>0</v>
      </c>
      <c r="J811" s="174" t="s">
        <v>1235</v>
      </c>
      <c r="K811" s="385" t="s">
        <v>1730</v>
      </c>
    </row>
    <row r="812" spans="2:11" x14ac:dyDescent="0.25">
      <c r="B812" s="516"/>
      <c r="C812" s="60" t="s">
        <v>1743</v>
      </c>
      <c r="D812" s="18" t="s">
        <v>1744</v>
      </c>
      <c r="E812" s="107">
        <f t="shared" si="60"/>
        <v>746</v>
      </c>
      <c r="F812" s="14">
        <f t="shared" si="59"/>
        <v>0</v>
      </c>
      <c r="G812" s="14" t="s">
        <v>1729</v>
      </c>
      <c r="H812" s="2">
        <v>0</v>
      </c>
      <c r="J812" s="174" t="s">
        <v>1235</v>
      </c>
      <c r="K812" s="385" t="s">
        <v>1730</v>
      </c>
    </row>
    <row r="813" spans="2:11" x14ac:dyDescent="0.25">
      <c r="B813" s="517"/>
      <c r="C813" s="61"/>
      <c r="D813" s="18" t="s">
        <v>1745</v>
      </c>
      <c r="E813" s="107">
        <f t="shared" si="60"/>
        <v>747</v>
      </c>
      <c r="F813" s="14">
        <f t="shared" si="59"/>
        <v>0</v>
      </c>
      <c r="G813" s="14" t="s">
        <v>33</v>
      </c>
      <c r="H813" s="2">
        <v>0</v>
      </c>
    </row>
    <row r="814" spans="2:11" x14ac:dyDescent="0.25">
      <c r="B814" s="515" t="str">
        <f>"S "&amp;(RIGHT(B804,3)+1)</f>
        <v>S 377</v>
      </c>
      <c r="C814" s="61" t="s">
        <v>1746</v>
      </c>
      <c r="D814" s="18" t="s">
        <v>1747</v>
      </c>
      <c r="E814" s="107">
        <f t="shared" si="60"/>
        <v>748</v>
      </c>
      <c r="F814" s="14">
        <f t="shared" si="59"/>
        <v>1</v>
      </c>
      <c r="G814" s="14" t="s">
        <v>45</v>
      </c>
      <c r="H814" s="2">
        <v>1</v>
      </c>
    </row>
    <row r="815" spans="2:11" x14ac:dyDescent="0.25">
      <c r="B815" s="516"/>
      <c r="C815" s="61" t="s">
        <v>1748</v>
      </c>
      <c r="D815" s="18" t="s">
        <v>1749</v>
      </c>
      <c r="E815" s="107">
        <f t="shared" si="60"/>
        <v>749</v>
      </c>
      <c r="F815" s="14">
        <f t="shared" si="59"/>
        <v>3</v>
      </c>
      <c r="G815" s="14" t="s">
        <v>1729</v>
      </c>
      <c r="H815" s="2">
        <v>3</v>
      </c>
      <c r="J815" s="174" t="s">
        <v>1235</v>
      </c>
      <c r="K815" s="385" t="s">
        <v>1750</v>
      </c>
    </row>
    <row r="816" spans="2:11" x14ac:dyDescent="0.25">
      <c r="B816" s="516"/>
      <c r="C816" s="61" t="s">
        <v>1751</v>
      </c>
      <c r="D816" s="18" t="s">
        <v>1752</v>
      </c>
      <c r="E816" s="107">
        <f t="shared" si="60"/>
        <v>750</v>
      </c>
      <c r="F816" s="14">
        <f t="shared" si="59"/>
        <v>3</v>
      </c>
      <c r="G816" s="14" t="s">
        <v>1729</v>
      </c>
      <c r="H816" s="2">
        <v>3</v>
      </c>
      <c r="J816" s="174" t="s">
        <v>1235</v>
      </c>
      <c r="K816" s="385" t="s">
        <v>1750</v>
      </c>
    </row>
    <row r="817" spans="2:11" ht="31.5" customHeight="1" x14ac:dyDescent="0.25">
      <c r="B817" s="516"/>
      <c r="C817" s="61" t="s">
        <v>1753</v>
      </c>
      <c r="D817" s="18" t="s">
        <v>1754</v>
      </c>
      <c r="E817" s="107">
        <f t="shared" si="60"/>
        <v>751</v>
      </c>
      <c r="F817" s="14">
        <f t="shared" si="59"/>
        <v>0</v>
      </c>
      <c r="G817" s="14" t="s">
        <v>1729</v>
      </c>
      <c r="H817" s="2">
        <v>0</v>
      </c>
      <c r="J817" s="174" t="s">
        <v>1235</v>
      </c>
      <c r="K817" s="385" t="s">
        <v>1750</v>
      </c>
    </row>
    <row r="818" spans="2:11" ht="31.5" customHeight="1" x14ac:dyDescent="0.25">
      <c r="B818" s="516"/>
      <c r="C818" s="61" t="s">
        <v>1755</v>
      </c>
      <c r="D818" s="18" t="s">
        <v>1756</v>
      </c>
      <c r="E818" s="107">
        <f t="shared" si="60"/>
        <v>752</v>
      </c>
      <c r="F818" s="14">
        <f t="shared" si="59"/>
        <v>0</v>
      </c>
      <c r="G818" s="14" t="s">
        <v>1729</v>
      </c>
      <c r="H818" s="2">
        <v>0</v>
      </c>
      <c r="J818" s="174" t="s">
        <v>1235</v>
      </c>
      <c r="K818" s="385" t="s">
        <v>1750</v>
      </c>
    </row>
    <row r="819" spans="2:11" x14ac:dyDescent="0.25">
      <c r="B819" s="517"/>
      <c r="C819" s="61" t="s">
        <v>1757</v>
      </c>
      <c r="D819" s="18" t="s">
        <v>1758</v>
      </c>
      <c r="E819" s="107">
        <f t="shared" si="60"/>
        <v>753</v>
      </c>
      <c r="F819" s="14">
        <f t="shared" si="59"/>
        <v>0</v>
      </c>
      <c r="G819" s="14" t="s">
        <v>1729</v>
      </c>
      <c r="H819" s="2">
        <v>0</v>
      </c>
      <c r="J819" s="174" t="s">
        <v>1235</v>
      </c>
      <c r="K819" s="385" t="s">
        <v>1750</v>
      </c>
    </row>
    <row r="820" spans="2:11" x14ac:dyDescent="0.25">
      <c r="B820" s="515" t="str">
        <f>"S "&amp;(RIGHT(B814,3)+1)</f>
        <v>S 378</v>
      </c>
      <c r="C820" s="18" t="s">
        <v>1759</v>
      </c>
      <c r="D820" s="18" t="s">
        <v>1760</v>
      </c>
      <c r="E820" s="107">
        <f t="shared" si="60"/>
        <v>754</v>
      </c>
      <c r="F820" s="14">
        <f t="shared" si="59"/>
        <v>1</v>
      </c>
      <c r="G820" s="14" t="s">
        <v>45</v>
      </c>
      <c r="H820" s="2">
        <v>1</v>
      </c>
    </row>
    <row r="821" spans="2:11" x14ac:dyDescent="0.25">
      <c r="B821" s="516"/>
      <c r="C821" s="18" t="s">
        <v>1761</v>
      </c>
      <c r="D821" s="18" t="s">
        <v>1762</v>
      </c>
      <c r="E821" s="107">
        <f t="shared" si="60"/>
        <v>755</v>
      </c>
      <c r="F821" s="14">
        <f t="shared" si="59"/>
        <v>1</v>
      </c>
      <c r="G821" s="14" t="s">
        <v>45</v>
      </c>
      <c r="H821" s="2">
        <v>1</v>
      </c>
      <c r="K821" s="385" t="s">
        <v>1763</v>
      </c>
    </row>
    <row r="822" spans="2:11" x14ac:dyDescent="0.25">
      <c r="B822" s="516"/>
      <c r="C822" s="18" t="s">
        <v>1764</v>
      </c>
      <c r="D822" s="18" t="s">
        <v>1765</v>
      </c>
      <c r="E822" s="107">
        <f t="shared" si="60"/>
        <v>756</v>
      </c>
      <c r="F822" s="14">
        <f t="shared" si="59"/>
        <v>1</v>
      </c>
      <c r="G822" s="14" t="s">
        <v>45</v>
      </c>
      <c r="H822" s="2">
        <v>1</v>
      </c>
      <c r="K822" s="385" t="s">
        <v>1763</v>
      </c>
    </row>
    <row r="823" spans="2:11" x14ac:dyDescent="0.25">
      <c r="B823" s="516"/>
      <c r="C823" s="18" t="s">
        <v>1766</v>
      </c>
      <c r="D823" s="18" t="s">
        <v>1767</v>
      </c>
      <c r="E823" s="107">
        <f t="shared" si="60"/>
        <v>757</v>
      </c>
      <c r="F823" s="14">
        <f t="shared" si="59"/>
        <v>1</v>
      </c>
      <c r="G823" s="14" t="s">
        <v>45</v>
      </c>
      <c r="H823" s="2">
        <v>1</v>
      </c>
      <c r="K823" s="385" t="s">
        <v>1763</v>
      </c>
    </row>
    <row r="824" spans="2:11" x14ac:dyDescent="0.25">
      <c r="B824" s="516"/>
      <c r="C824" s="18" t="s">
        <v>1768</v>
      </c>
      <c r="D824" s="18" t="s">
        <v>1769</v>
      </c>
      <c r="E824" s="107">
        <f t="shared" si="60"/>
        <v>758</v>
      </c>
      <c r="F824" s="14">
        <f t="shared" si="59"/>
        <v>1</v>
      </c>
      <c r="G824" s="14" t="s">
        <v>45</v>
      </c>
      <c r="H824" s="2">
        <v>1</v>
      </c>
      <c r="K824" s="385" t="s">
        <v>1763</v>
      </c>
    </row>
    <row r="825" spans="2:11" x14ac:dyDescent="0.25">
      <c r="B825" s="516"/>
      <c r="C825" s="60" t="s">
        <v>1770</v>
      </c>
      <c r="D825" s="18" t="s">
        <v>1771</v>
      </c>
      <c r="E825" s="107">
        <f t="shared" si="60"/>
        <v>759</v>
      </c>
      <c r="F825" s="14">
        <f t="shared" si="59"/>
        <v>0</v>
      </c>
      <c r="G825" s="14" t="s">
        <v>45</v>
      </c>
      <c r="H825" s="2">
        <v>0</v>
      </c>
      <c r="K825" s="385" t="s">
        <v>1763</v>
      </c>
    </row>
    <row r="826" spans="2:11" x14ac:dyDescent="0.25">
      <c r="B826" s="516"/>
      <c r="C826" s="61"/>
      <c r="D826" s="18" t="s">
        <v>1772</v>
      </c>
      <c r="E826" s="107">
        <f t="shared" si="60"/>
        <v>760</v>
      </c>
      <c r="F826" s="14">
        <f t="shared" si="59"/>
        <v>0</v>
      </c>
      <c r="G826" s="14" t="s">
        <v>33</v>
      </c>
      <c r="H826" s="2">
        <v>0</v>
      </c>
    </row>
    <row r="827" spans="2:11" x14ac:dyDescent="0.25">
      <c r="B827" s="517"/>
      <c r="C827" s="61" t="s">
        <v>1773</v>
      </c>
      <c r="D827" s="18" t="s">
        <v>1774</v>
      </c>
      <c r="E827" s="107">
        <f t="shared" si="60"/>
        <v>761</v>
      </c>
      <c r="F827" s="14">
        <f t="shared" si="59"/>
        <v>0</v>
      </c>
      <c r="G827" s="14" t="s">
        <v>45</v>
      </c>
      <c r="H827" s="2">
        <v>0</v>
      </c>
    </row>
    <row r="828" spans="2:11" x14ac:dyDescent="0.25">
      <c r="B828" s="269" t="str">
        <f>"S "&amp;(RIGHT(B820,3)+1)</f>
        <v>S 379</v>
      </c>
      <c r="C828" s="18" t="s">
        <v>1775</v>
      </c>
      <c r="D828" s="18" t="s">
        <v>1776</v>
      </c>
      <c r="E828" s="107">
        <f t="shared" si="60"/>
        <v>762</v>
      </c>
      <c r="F828" s="14">
        <f t="shared" si="59"/>
        <v>0</v>
      </c>
      <c r="G828" s="14" t="s">
        <v>45</v>
      </c>
      <c r="H828" s="2">
        <v>0</v>
      </c>
    </row>
    <row r="829" spans="2:11" x14ac:dyDescent="0.25">
      <c r="B829" s="515" t="str">
        <f>"S "&amp;(RIGHT(B828,3)+1)</f>
        <v>S 380</v>
      </c>
      <c r="C829" s="18" t="s">
        <v>1777</v>
      </c>
      <c r="D829" s="18" t="s">
        <v>1778</v>
      </c>
      <c r="E829" s="107">
        <f t="shared" si="60"/>
        <v>763</v>
      </c>
      <c r="F829" s="14">
        <f t="shared" si="59"/>
        <v>1</v>
      </c>
      <c r="G829" s="14" t="s">
        <v>45</v>
      </c>
      <c r="H829" s="2">
        <v>1</v>
      </c>
    </row>
    <row r="830" spans="2:11" x14ac:dyDescent="0.25">
      <c r="B830" s="516"/>
      <c r="C830" s="18" t="s">
        <v>1779</v>
      </c>
      <c r="D830" s="18" t="s">
        <v>1780</v>
      </c>
      <c r="E830" s="107">
        <f t="shared" si="60"/>
        <v>764</v>
      </c>
      <c r="F830" s="14">
        <f t="shared" si="59"/>
        <v>1</v>
      </c>
      <c r="G830" s="14" t="s">
        <v>45</v>
      </c>
      <c r="H830" s="2">
        <v>1</v>
      </c>
    </row>
    <row r="831" spans="2:11" x14ac:dyDescent="0.25">
      <c r="B831" s="516"/>
      <c r="C831" s="18" t="s">
        <v>1781</v>
      </c>
      <c r="D831" s="18" t="s">
        <v>1782</v>
      </c>
      <c r="E831" s="107">
        <f t="shared" si="60"/>
        <v>765</v>
      </c>
      <c r="F831" s="14">
        <f t="shared" si="59"/>
        <v>0</v>
      </c>
      <c r="G831" s="14" t="s">
        <v>45</v>
      </c>
      <c r="H831" s="2">
        <v>0</v>
      </c>
    </row>
    <row r="832" spans="2:11" x14ac:dyDescent="0.25">
      <c r="B832" s="516"/>
      <c r="C832" s="18" t="s">
        <v>1783</v>
      </c>
      <c r="D832" s="18" t="s">
        <v>1784</v>
      </c>
      <c r="E832" s="107">
        <f t="shared" si="60"/>
        <v>766</v>
      </c>
      <c r="F832" s="14">
        <f t="shared" si="59"/>
        <v>0</v>
      </c>
      <c r="G832" s="14" t="s">
        <v>45</v>
      </c>
      <c r="H832" s="2">
        <v>0</v>
      </c>
    </row>
    <row r="833" spans="2:10" x14ac:dyDescent="0.25">
      <c r="B833" s="516"/>
      <c r="C833" s="18" t="s">
        <v>1785</v>
      </c>
      <c r="D833" s="18" t="s">
        <v>1786</v>
      </c>
      <c r="E833" s="107">
        <f t="shared" si="60"/>
        <v>767</v>
      </c>
      <c r="F833" s="14">
        <f t="shared" si="59"/>
        <v>0</v>
      </c>
      <c r="G833" s="14" t="s">
        <v>45</v>
      </c>
      <c r="H833" s="2">
        <v>0</v>
      </c>
    </row>
    <row r="834" spans="2:10" x14ac:dyDescent="0.25">
      <c r="B834" s="516"/>
      <c r="C834" s="18" t="s">
        <v>1787</v>
      </c>
      <c r="D834" s="18" t="s">
        <v>1788</v>
      </c>
      <c r="E834" s="107">
        <f t="shared" si="60"/>
        <v>768</v>
      </c>
      <c r="F834" s="14">
        <f t="shared" si="59"/>
        <v>1</v>
      </c>
      <c r="G834" s="14" t="s">
        <v>45</v>
      </c>
      <c r="H834" s="2">
        <v>1</v>
      </c>
    </row>
    <row r="835" spans="2:10" x14ac:dyDescent="0.25">
      <c r="B835" s="516"/>
      <c r="C835" s="18" t="s">
        <v>1789</v>
      </c>
      <c r="D835" s="18" t="s">
        <v>1790</v>
      </c>
      <c r="E835" s="107">
        <f t="shared" si="60"/>
        <v>769</v>
      </c>
      <c r="F835" s="14">
        <f t="shared" si="59"/>
        <v>1</v>
      </c>
      <c r="G835" s="14" t="s">
        <v>45</v>
      </c>
      <c r="H835" s="2">
        <v>1</v>
      </c>
    </row>
    <row r="836" spans="2:10" x14ac:dyDescent="0.25">
      <c r="B836" s="516"/>
      <c r="C836" s="18" t="s">
        <v>1791</v>
      </c>
      <c r="D836" s="18" t="s">
        <v>1792</v>
      </c>
      <c r="E836" s="107">
        <f t="shared" si="60"/>
        <v>770</v>
      </c>
      <c r="F836" s="14">
        <f t="shared" si="59"/>
        <v>0</v>
      </c>
      <c r="G836" s="14" t="s">
        <v>45</v>
      </c>
      <c r="H836" s="2">
        <v>0</v>
      </c>
    </row>
    <row r="837" spans="2:10" x14ac:dyDescent="0.25">
      <c r="B837" s="516"/>
      <c r="C837" s="18" t="s">
        <v>1793</v>
      </c>
      <c r="D837" s="18" t="s">
        <v>1794</v>
      </c>
      <c r="E837" s="107">
        <f t="shared" si="60"/>
        <v>771</v>
      </c>
      <c r="F837" s="14">
        <f t="shared" si="59"/>
        <v>0</v>
      </c>
      <c r="G837" s="14" t="s">
        <v>45</v>
      </c>
      <c r="H837" s="2">
        <v>0</v>
      </c>
    </row>
    <row r="838" spans="2:10" x14ac:dyDescent="0.25">
      <c r="B838" s="517"/>
      <c r="C838" s="18" t="s">
        <v>1795</v>
      </c>
      <c r="D838" s="18" t="s">
        <v>1796</v>
      </c>
      <c r="E838" s="107">
        <f t="shared" si="60"/>
        <v>772</v>
      </c>
      <c r="F838" s="14" t="str">
        <f t="shared" si="59"/>
        <v>a2</v>
      </c>
      <c r="G838" s="14" t="s">
        <v>45</v>
      </c>
      <c r="H838" s="2" t="s">
        <v>1797</v>
      </c>
    </row>
    <row r="839" spans="2:10" x14ac:dyDescent="0.25">
      <c r="B839" s="269"/>
      <c r="C839" s="46" t="s">
        <v>1798</v>
      </c>
      <c r="D839" s="47"/>
      <c r="E839" s="105"/>
      <c r="F839" s="14"/>
      <c r="G839" s="14"/>
    </row>
    <row r="840" spans="2:10" x14ac:dyDescent="0.25">
      <c r="B840" s="515" t="str">
        <f>"S "&amp;(RIGHT(B829,3)+1)</f>
        <v>S 381</v>
      </c>
      <c r="C840" s="18" t="s">
        <v>1799</v>
      </c>
      <c r="D840" s="18" t="s">
        <v>1800</v>
      </c>
      <c r="E840" s="107">
        <f>E838+1</f>
        <v>773</v>
      </c>
      <c r="F840" s="14">
        <f t="shared" ref="F840:F863" si="61">H840</f>
        <v>0</v>
      </c>
      <c r="G840" s="14" t="s">
        <v>45</v>
      </c>
      <c r="H840" s="2">
        <v>0</v>
      </c>
    </row>
    <row r="841" spans="2:10" x14ac:dyDescent="0.25">
      <c r="B841" s="516"/>
      <c r="C841" s="18" t="s">
        <v>1801</v>
      </c>
      <c r="D841" s="18" t="s">
        <v>1802</v>
      </c>
      <c r="E841" s="107">
        <f t="shared" ref="E841:E863" si="62">E840+1</f>
        <v>774</v>
      </c>
      <c r="F841" s="14">
        <f t="shared" si="61"/>
        <v>0</v>
      </c>
      <c r="G841" s="14" t="s">
        <v>1048</v>
      </c>
      <c r="H841" s="2">
        <v>0</v>
      </c>
      <c r="I841" s="173" t="s">
        <v>1803</v>
      </c>
      <c r="J841" s="176" t="s">
        <v>1804</v>
      </c>
    </row>
    <row r="842" spans="2:10" x14ac:dyDescent="0.25">
      <c r="B842" s="516"/>
      <c r="C842" s="18" t="s">
        <v>1805</v>
      </c>
      <c r="D842" s="18" t="s">
        <v>1806</v>
      </c>
      <c r="E842" s="107">
        <f t="shared" si="62"/>
        <v>775</v>
      </c>
      <c r="F842" s="20">
        <f t="shared" si="61"/>
        <v>36000</v>
      </c>
      <c r="G842" s="14" t="s">
        <v>1151</v>
      </c>
      <c r="H842" s="65">
        <v>36000</v>
      </c>
    </row>
    <row r="843" spans="2:10" x14ac:dyDescent="0.25">
      <c r="B843" s="516"/>
      <c r="C843" s="18" t="s">
        <v>1807</v>
      </c>
      <c r="D843" s="18" t="s">
        <v>1808</v>
      </c>
      <c r="E843" s="107">
        <f t="shared" si="62"/>
        <v>776</v>
      </c>
      <c r="F843" s="20">
        <f t="shared" si="61"/>
        <v>0</v>
      </c>
      <c r="G843" s="14" t="s">
        <v>204</v>
      </c>
      <c r="H843" s="2">
        <v>0</v>
      </c>
      <c r="J843" s="174" t="s">
        <v>1235</v>
      </c>
    </row>
    <row r="844" spans="2:10" x14ac:dyDescent="0.25">
      <c r="B844" s="516"/>
      <c r="C844" s="18" t="s">
        <v>1809</v>
      </c>
      <c r="D844" s="18" t="s">
        <v>1810</v>
      </c>
      <c r="E844" s="107">
        <f t="shared" si="62"/>
        <v>777</v>
      </c>
      <c r="F844" s="20">
        <f t="shared" si="61"/>
        <v>1</v>
      </c>
      <c r="G844" s="14" t="s">
        <v>204</v>
      </c>
      <c r="H844" s="2">
        <v>1</v>
      </c>
      <c r="J844" s="174" t="s">
        <v>1235</v>
      </c>
    </row>
    <row r="845" spans="2:10" x14ac:dyDescent="0.25">
      <c r="B845" s="516"/>
      <c r="C845" s="18" t="s">
        <v>1811</v>
      </c>
      <c r="D845" s="18" t="s">
        <v>1812</v>
      </c>
      <c r="E845" s="107">
        <f t="shared" si="62"/>
        <v>778</v>
      </c>
      <c r="F845" s="20">
        <f t="shared" si="61"/>
        <v>0</v>
      </c>
      <c r="G845" s="14" t="s">
        <v>204</v>
      </c>
      <c r="H845" s="2">
        <v>0</v>
      </c>
      <c r="J845" s="174" t="s">
        <v>1235</v>
      </c>
    </row>
    <row r="846" spans="2:10" x14ac:dyDescent="0.25">
      <c r="B846" s="516"/>
      <c r="C846" s="18" t="s">
        <v>1813</v>
      </c>
      <c r="D846" s="18" t="s">
        <v>1814</v>
      </c>
      <c r="E846" s="107">
        <f t="shared" si="62"/>
        <v>779</v>
      </c>
      <c r="F846" s="20">
        <f t="shared" si="61"/>
        <v>0</v>
      </c>
      <c r="G846" s="14" t="s">
        <v>204</v>
      </c>
      <c r="H846" s="2">
        <v>0</v>
      </c>
      <c r="J846" s="174" t="s">
        <v>1235</v>
      </c>
    </row>
    <row r="847" spans="2:10" x14ac:dyDescent="0.25">
      <c r="B847" s="516"/>
      <c r="C847" s="18" t="s">
        <v>1815</v>
      </c>
      <c r="D847" s="18" t="s">
        <v>1816</v>
      </c>
      <c r="E847" s="107">
        <f t="shared" si="62"/>
        <v>780</v>
      </c>
      <c r="F847" s="20">
        <f t="shared" si="61"/>
        <v>1</v>
      </c>
      <c r="G847" s="14" t="s">
        <v>204</v>
      </c>
      <c r="H847" s="2">
        <v>1</v>
      </c>
      <c r="J847" s="174" t="s">
        <v>1235</v>
      </c>
    </row>
    <row r="848" spans="2:10" x14ac:dyDescent="0.25">
      <c r="B848" s="516"/>
      <c r="C848" s="18" t="s">
        <v>1817</v>
      </c>
      <c r="D848" s="18" t="s">
        <v>1818</v>
      </c>
      <c r="E848" s="107">
        <f t="shared" si="62"/>
        <v>781</v>
      </c>
      <c r="F848" s="20">
        <f t="shared" si="61"/>
        <v>1</v>
      </c>
      <c r="G848" s="14" t="s">
        <v>204</v>
      </c>
      <c r="H848" s="2">
        <v>1</v>
      </c>
      <c r="J848" s="174" t="s">
        <v>1235</v>
      </c>
    </row>
    <row r="849" spans="2:10" x14ac:dyDescent="0.25">
      <c r="B849" s="516"/>
      <c r="C849" s="18" t="s">
        <v>1819</v>
      </c>
      <c r="D849" s="18" t="s">
        <v>1820</v>
      </c>
      <c r="E849" s="107">
        <f t="shared" si="62"/>
        <v>782</v>
      </c>
      <c r="F849" s="20">
        <f t="shared" si="61"/>
        <v>0</v>
      </c>
      <c r="G849" s="14" t="s">
        <v>204</v>
      </c>
      <c r="H849" s="2">
        <v>0</v>
      </c>
      <c r="J849" s="174" t="s">
        <v>1235</v>
      </c>
    </row>
    <row r="850" spans="2:10" x14ac:dyDescent="0.25">
      <c r="B850" s="516"/>
      <c r="C850" s="18" t="s">
        <v>1821</v>
      </c>
      <c r="D850" s="18" t="s">
        <v>1822</v>
      </c>
      <c r="E850" s="107">
        <f t="shared" si="62"/>
        <v>783</v>
      </c>
      <c r="F850" s="20">
        <f t="shared" si="61"/>
        <v>0</v>
      </c>
      <c r="G850" s="14" t="s">
        <v>204</v>
      </c>
      <c r="H850" s="2">
        <v>0</v>
      </c>
      <c r="J850" s="174" t="s">
        <v>1235</v>
      </c>
    </row>
    <row r="851" spans="2:10" x14ac:dyDescent="0.25">
      <c r="B851" s="516"/>
      <c r="C851" s="18" t="s">
        <v>1823</v>
      </c>
      <c r="D851" s="18" t="s">
        <v>1824</v>
      </c>
      <c r="E851" s="107">
        <f t="shared" si="62"/>
        <v>784</v>
      </c>
      <c r="F851" s="20">
        <f t="shared" si="61"/>
        <v>0</v>
      </c>
      <c r="G851" s="14" t="s">
        <v>204</v>
      </c>
      <c r="H851" s="2">
        <v>0</v>
      </c>
      <c r="J851" s="174" t="s">
        <v>1235</v>
      </c>
    </row>
    <row r="852" spans="2:10" x14ac:dyDescent="0.25">
      <c r="B852" s="516"/>
      <c r="C852" s="18" t="s">
        <v>1825</v>
      </c>
      <c r="D852" s="18" t="s">
        <v>1826</v>
      </c>
      <c r="E852" s="107">
        <f t="shared" si="62"/>
        <v>785</v>
      </c>
      <c r="F852" s="20">
        <f t="shared" si="61"/>
        <v>1</v>
      </c>
      <c r="G852" s="14" t="s">
        <v>204</v>
      </c>
      <c r="H852" s="2">
        <v>1</v>
      </c>
      <c r="J852" s="174" t="s">
        <v>1235</v>
      </c>
    </row>
    <row r="853" spans="2:10" x14ac:dyDescent="0.25">
      <c r="B853" s="516"/>
      <c r="C853" s="18" t="s">
        <v>1827</v>
      </c>
      <c r="D853" s="18" t="s">
        <v>1828</v>
      </c>
      <c r="E853" s="107">
        <f t="shared" si="62"/>
        <v>786</v>
      </c>
      <c r="F853" s="20">
        <f t="shared" si="61"/>
        <v>3</v>
      </c>
      <c r="G853" s="14" t="s">
        <v>204</v>
      </c>
      <c r="H853" s="2">
        <v>3</v>
      </c>
      <c r="J853" s="174" t="s">
        <v>1235</v>
      </c>
    </row>
    <row r="854" spans="2:10" x14ac:dyDescent="0.25">
      <c r="B854" s="517"/>
      <c r="C854" s="18" t="s">
        <v>1829</v>
      </c>
      <c r="D854" s="18" t="s">
        <v>1830</v>
      </c>
      <c r="E854" s="107">
        <f t="shared" si="62"/>
        <v>787</v>
      </c>
      <c r="F854" s="20">
        <f t="shared" si="61"/>
        <v>2</v>
      </c>
      <c r="G854" s="14" t="s">
        <v>204</v>
      </c>
      <c r="H854" s="2">
        <v>2</v>
      </c>
      <c r="J854" s="174" t="s">
        <v>1235</v>
      </c>
    </row>
    <row r="855" spans="2:10" x14ac:dyDescent="0.25">
      <c r="B855" s="515" t="str">
        <f>"S "&amp;(RIGHT(B840,3)+1)</f>
        <v>S 382</v>
      </c>
      <c r="C855" s="18" t="s">
        <v>1831</v>
      </c>
      <c r="D855" s="18" t="s">
        <v>1832</v>
      </c>
      <c r="E855" s="107">
        <f t="shared" si="62"/>
        <v>788</v>
      </c>
      <c r="F855" s="14">
        <f t="shared" si="61"/>
        <v>1</v>
      </c>
      <c r="G855" s="14" t="s">
        <v>45</v>
      </c>
      <c r="H855" s="2">
        <v>1</v>
      </c>
      <c r="I855" s="173" t="s">
        <v>1833</v>
      </c>
    </row>
    <row r="856" spans="2:10" x14ac:dyDescent="0.25">
      <c r="B856" s="516"/>
      <c r="C856" s="18" t="s">
        <v>1834</v>
      </c>
      <c r="D856" s="18" t="s">
        <v>1835</v>
      </c>
      <c r="E856" s="107">
        <f t="shared" si="62"/>
        <v>789</v>
      </c>
      <c r="F856" s="14">
        <f t="shared" si="61"/>
        <v>1</v>
      </c>
      <c r="G856" s="14" t="s">
        <v>45</v>
      </c>
      <c r="H856" s="2">
        <v>1</v>
      </c>
      <c r="I856" s="173" t="s">
        <v>1833</v>
      </c>
    </row>
    <row r="857" spans="2:10" x14ac:dyDescent="0.25">
      <c r="B857" s="516"/>
      <c r="C857" s="18" t="s">
        <v>1836</v>
      </c>
      <c r="D857" s="18" t="s">
        <v>1837</v>
      </c>
      <c r="E857" s="107">
        <f t="shared" si="62"/>
        <v>790</v>
      </c>
      <c r="F857" s="14">
        <f t="shared" si="61"/>
        <v>0</v>
      </c>
      <c r="G857" s="14" t="s">
        <v>45</v>
      </c>
      <c r="H857" s="2">
        <v>0</v>
      </c>
      <c r="I857" s="173" t="s">
        <v>1833</v>
      </c>
    </row>
    <row r="858" spans="2:10" x14ac:dyDescent="0.25">
      <c r="B858" s="516"/>
      <c r="C858" s="18" t="s">
        <v>1838</v>
      </c>
      <c r="D858" s="18" t="s">
        <v>1839</v>
      </c>
      <c r="E858" s="107">
        <f t="shared" si="62"/>
        <v>791</v>
      </c>
      <c r="F858" s="14">
        <f t="shared" si="61"/>
        <v>0</v>
      </c>
      <c r="G858" s="14" t="s">
        <v>45</v>
      </c>
      <c r="H858" s="2">
        <v>0</v>
      </c>
      <c r="I858" s="173" t="s">
        <v>1833</v>
      </c>
    </row>
    <row r="859" spans="2:10" x14ac:dyDescent="0.25">
      <c r="B859" s="516"/>
      <c r="C859" s="18" t="s">
        <v>1840</v>
      </c>
      <c r="D859" s="18" t="s">
        <v>1841</v>
      </c>
      <c r="E859" s="107">
        <f t="shared" si="62"/>
        <v>792</v>
      </c>
      <c r="F859" s="14">
        <f t="shared" si="61"/>
        <v>0</v>
      </c>
      <c r="G859" s="14" t="s">
        <v>45</v>
      </c>
      <c r="H859" s="2">
        <v>0</v>
      </c>
      <c r="I859" s="173" t="s">
        <v>1833</v>
      </c>
    </row>
    <row r="860" spans="2:10" x14ac:dyDescent="0.25">
      <c r="B860" s="516"/>
      <c r="C860" s="18" t="s">
        <v>1842</v>
      </c>
      <c r="D860" s="18" t="s">
        <v>1843</v>
      </c>
      <c r="E860" s="107">
        <f t="shared" si="62"/>
        <v>793</v>
      </c>
      <c r="F860" s="14">
        <f t="shared" si="61"/>
        <v>0</v>
      </c>
      <c r="G860" s="14" t="s">
        <v>45</v>
      </c>
      <c r="H860" s="2">
        <v>0</v>
      </c>
      <c r="I860" s="173" t="s">
        <v>1833</v>
      </c>
    </row>
    <row r="861" spans="2:10" x14ac:dyDescent="0.25">
      <c r="B861" s="516"/>
      <c r="C861" s="18" t="s">
        <v>1844</v>
      </c>
      <c r="D861" s="18" t="s">
        <v>1845</v>
      </c>
      <c r="E861" s="107">
        <f t="shared" si="62"/>
        <v>794</v>
      </c>
      <c r="F861" s="14">
        <f t="shared" si="61"/>
        <v>0</v>
      </c>
      <c r="G861" s="14" t="s">
        <v>45</v>
      </c>
      <c r="H861" s="2">
        <v>0</v>
      </c>
      <c r="I861" s="173" t="s">
        <v>1833</v>
      </c>
    </row>
    <row r="862" spans="2:10" x14ac:dyDescent="0.25">
      <c r="B862" s="517"/>
      <c r="C862" s="18" t="s">
        <v>1846</v>
      </c>
      <c r="D862" s="18" t="s">
        <v>1847</v>
      </c>
      <c r="E862" s="107">
        <f t="shared" si="62"/>
        <v>795</v>
      </c>
      <c r="F862" s="14">
        <f t="shared" si="61"/>
        <v>0</v>
      </c>
      <c r="G862" s="14" t="s">
        <v>45</v>
      </c>
      <c r="H862" s="2">
        <v>0</v>
      </c>
      <c r="I862" s="173" t="s">
        <v>1833</v>
      </c>
    </row>
    <row r="863" spans="2:10" x14ac:dyDescent="0.25">
      <c r="B863" s="269" t="str">
        <f>"S "&amp;(RIGHT(B855,3)+1)</f>
        <v>S 383</v>
      </c>
      <c r="C863" s="18" t="s">
        <v>1848</v>
      </c>
      <c r="D863" s="18" t="s">
        <v>1849</v>
      </c>
      <c r="E863" s="107">
        <f t="shared" si="62"/>
        <v>796</v>
      </c>
      <c r="F863" s="14">
        <f t="shared" si="61"/>
        <v>0</v>
      </c>
      <c r="G863" s="14" t="s">
        <v>1729</v>
      </c>
      <c r="H863" s="2">
        <v>0</v>
      </c>
      <c r="I863" s="173" t="s">
        <v>1833</v>
      </c>
      <c r="J863" s="174" t="s">
        <v>1235</v>
      </c>
    </row>
    <row r="864" spans="2:10" x14ac:dyDescent="0.25">
      <c r="B864" s="518" t="s">
        <v>1850</v>
      </c>
      <c r="C864" s="519"/>
      <c r="D864" s="520"/>
      <c r="E864" s="105"/>
      <c r="F864" s="14"/>
      <c r="G864" s="14"/>
    </row>
    <row r="865" spans="2:11" x14ac:dyDescent="0.25">
      <c r="B865" s="119"/>
      <c r="C865" s="46" t="s">
        <v>1851</v>
      </c>
      <c r="D865" s="68"/>
      <c r="E865" s="105"/>
      <c r="F865" s="14"/>
      <c r="G865" s="14"/>
    </row>
    <row r="866" spans="2:11" x14ac:dyDescent="0.25">
      <c r="B866" s="508" t="str">
        <f>"S "&amp;(RIGHT(B863,3)+1)</f>
        <v>S 384</v>
      </c>
      <c r="C866" s="18" t="s">
        <v>1852</v>
      </c>
      <c r="D866" s="18" t="s">
        <v>1853</v>
      </c>
      <c r="E866" s="107">
        <f>E863+1</f>
        <v>797</v>
      </c>
      <c r="F866" s="14">
        <f>H866</f>
        <v>0</v>
      </c>
      <c r="G866" s="14" t="s">
        <v>1048</v>
      </c>
      <c r="H866" s="4">
        <v>0</v>
      </c>
      <c r="J866" s="174" t="s">
        <v>1036</v>
      </c>
    </row>
    <row r="867" spans="2:11" x14ac:dyDescent="0.25">
      <c r="B867" s="508"/>
      <c r="C867" s="18" t="s">
        <v>1854</v>
      </c>
      <c r="D867" s="18" t="s">
        <v>1855</v>
      </c>
      <c r="E867" s="107">
        <f>E866+1</f>
        <v>798</v>
      </c>
      <c r="F867" s="14">
        <f>H867</f>
        <v>0</v>
      </c>
      <c r="G867" s="14" t="s">
        <v>1048</v>
      </c>
      <c r="H867" s="4">
        <v>0</v>
      </c>
      <c r="J867" s="174" t="s">
        <v>1036</v>
      </c>
    </row>
    <row r="868" spans="2:11" x14ac:dyDescent="0.25">
      <c r="B868" s="508"/>
      <c r="C868" s="18" t="s">
        <v>1856</v>
      </c>
      <c r="D868" s="18" t="s">
        <v>1857</v>
      </c>
      <c r="E868" s="107">
        <f>E867+1</f>
        <v>799</v>
      </c>
      <c r="F868" s="14">
        <f>H868</f>
        <v>0</v>
      </c>
      <c r="G868" s="14" t="s">
        <v>1048</v>
      </c>
      <c r="H868" s="4">
        <v>0</v>
      </c>
      <c r="J868" s="174" t="s">
        <v>1036</v>
      </c>
    </row>
    <row r="869" spans="2:11" x14ac:dyDescent="0.25">
      <c r="B869" s="508"/>
      <c r="C869" s="18" t="s">
        <v>1858</v>
      </c>
      <c r="D869" s="18" t="s">
        <v>1859</v>
      </c>
      <c r="E869" s="185">
        <f>E868+1</f>
        <v>800</v>
      </c>
      <c r="F869" s="183">
        <f>H869</f>
        <v>23</v>
      </c>
      <c r="G869" s="183" t="s">
        <v>1860</v>
      </c>
      <c r="H869" s="189">
        <v>23</v>
      </c>
      <c r="J869" s="174" t="s">
        <v>1292</v>
      </c>
    </row>
    <row r="870" spans="2:11" x14ac:dyDescent="0.25">
      <c r="B870" s="120"/>
      <c r="C870" s="46" t="s">
        <v>1861</v>
      </c>
      <c r="D870" s="49"/>
      <c r="E870" s="139"/>
      <c r="F870" s="14"/>
      <c r="G870" s="14"/>
      <c r="H870" s="140"/>
    </row>
    <row r="871" spans="2:11" x14ac:dyDescent="0.25">
      <c r="B871" s="513" t="str">
        <f>"S "&amp;(RIGHT(B866,3)+1)</f>
        <v>S 385</v>
      </c>
      <c r="C871" s="18" t="s">
        <v>1862</v>
      </c>
      <c r="D871" s="18" t="s">
        <v>1863</v>
      </c>
      <c r="E871" s="107">
        <f>E869+1</f>
        <v>801</v>
      </c>
      <c r="F871" s="19">
        <f>H871</f>
        <v>0</v>
      </c>
      <c r="G871" s="14" t="s">
        <v>1398</v>
      </c>
      <c r="H871" s="10">
        <v>0</v>
      </c>
      <c r="J871" s="174" t="s">
        <v>1864</v>
      </c>
    </row>
    <row r="872" spans="2:11" x14ac:dyDescent="0.25">
      <c r="B872" s="513"/>
      <c r="C872" s="18" t="s">
        <v>1865</v>
      </c>
      <c r="D872" s="18" t="s">
        <v>1866</v>
      </c>
      <c r="E872" s="107">
        <f>E871+1</f>
        <v>802</v>
      </c>
      <c r="F872" s="19">
        <f>H872</f>
        <v>0</v>
      </c>
      <c r="G872" s="14" t="s">
        <v>1398</v>
      </c>
      <c r="H872" s="10">
        <v>0</v>
      </c>
      <c r="J872" s="174" t="s">
        <v>1864</v>
      </c>
    </row>
    <row r="873" spans="2:11" x14ac:dyDescent="0.25">
      <c r="B873" s="507"/>
      <c r="C873" s="18" t="s">
        <v>1867</v>
      </c>
      <c r="D873" s="18" t="s">
        <v>1868</v>
      </c>
      <c r="E873" s="107">
        <f>E872+1</f>
        <v>803</v>
      </c>
      <c r="F873" s="19">
        <f>H873</f>
        <v>0</v>
      </c>
      <c r="G873" s="14" t="s">
        <v>1398</v>
      </c>
      <c r="H873" s="10">
        <v>0</v>
      </c>
      <c r="J873" s="174" t="s">
        <v>1864</v>
      </c>
    </row>
    <row r="874" spans="2:11" x14ac:dyDescent="0.25">
      <c r="B874" s="119"/>
      <c r="C874" s="46" t="s">
        <v>1869</v>
      </c>
      <c r="D874" s="49"/>
      <c r="E874" s="141"/>
      <c r="F874" s="14"/>
      <c r="G874" s="14"/>
    </row>
    <row r="875" spans="2:11" x14ac:dyDescent="0.25">
      <c r="B875" s="508" t="str">
        <f>"S "&amp;(RIGHT(B871,3)+1)</f>
        <v>S 386</v>
      </c>
      <c r="C875" s="18" t="s">
        <v>1870</v>
      </c>
      <c r="D875" s="18" t="s">
        <v>1871</v>
      </c>
      <c r="E875" s="107">
        <f>E873+1</f>
        <v>804</v>
      </c>
      <c r="F875" s="14">
        <f t="shared" ref="F875:F882" si="63">H875</f>
        <v>1195</v>
      </c>
      <c r="G875" s="14" t="s">
        <v>1076</v>
      </c>
      <c r="H875" s="2">
        <v>1195</v>
      </c>
      <c r="J875" s="176" t="s">
        <v>1872</v>
      </c>
      <c r="K875" s="398" t="s">
        <v>1873</v>
      </c>
    </row>
    <row r="876" spans="2:11" x14ac:dyDescent="0.25">
      <c r="B876" s="508"/>
      <c r="C876" s="18" t="s">
        <v>1874</v>
      </c>
      <c r="D876" s="18" t="s">
        <v>1875</v>
      </c>
      <c r="E876" s="107">
        <f t="shared" ref="E876:E882" si="64">E875+1</f>
        <v>805</v>
      </c>
      <c r="F876" s="14">
        <f t="shared" si="63"/>
        <v>155</v>
      </c>
      <c r="G876" s="14" t="s">
        <v>1076</v>
      </c>
      <c r="H876" s="2">
        <v>155</v>
      </c>
      <c r="J876" s="176" t="s">
        <v>1872</v>
      </c>
      <c r="K876" s="398" t="s">
        <v>1876</v>
      </c>
    </row>
    <row r="877" spans="2:11" x14ac:dyDescent="0.25">
      <c r="B877" s="508" t="str">
        <f>"S "&amp;(RIGHT(B875,3)+1)</f>
        <v>S 387</v>
      </c>
      <c r="C877" s="18" t="s">
        <v>1877</v>
      </c>
      <c r="D877" s="18" t="s">
        <v>1878</v>
      </c>
      <c r="E877" s="107">
        <f t="shared" si="64"/>
        <v>806</v>
      </c>
      <c r="F877" s="14">
        <f t="shared" si="63"/>
        <v>452</v>
      </c>
      <c r="G877" s="14" t="s">
        <v>1076</v>
      </c>
      <c r="H877" s="2">
        <v>452</v>
      </c>
      <c r="J877" s="174" t="s">
        <v>1879</v>
      </c>
      <c r="K877" s="398" t="s">
        <v>1880</v>
      </c>
    </row>
    <row r="878" spans="2:11" x14ac:dyDescent="0.25">
      <c r="B878" s="508"/>
      <c r="C878" s="18" t="s">
        <v>1881</v>
      </c>
      <c r="D878" s="18" t="s">
        <v>1882</v>
      </c>
      <c r="E878" s="107">
        <f t="shared" si="64"/>
        <v>807</v>
      </c>
      <c r="F878" s="14">
        <f t="shared" si="63"/>
        <v>1</v>
      </c>
      <c r="G878" s="14" t="s">
        <v>45</v>
      </c>
      <c r="H878" s="2">
        <v>1</v>
      </c>
      <c r="K878" s="398"/>
    </row>
    <row r="879" spans="2:11" x14ac:dyDescent="0.25">
      <c r="B879" s="508" t="str">
        <f>"S "&amp;(RIGHT(B877,3)+1)</f>
        <v>S 388</v>
      </c>
      <c r="C879" s="18" t="s">
        <v>1883</v>
      </c>
      <c r="D879" s="18" t="s">
        <v>1884</v>
      </c>
      <c r="E879" s="107">
        <f t="shared" si="64"/>
        <v>808</v>
      </c>
      <c r="F879" s="14">
        <f t="shared" si="63"/>
        <v>673</v>
      </c>
      <c r="G879" s="14" t="s">
        <v>1076</v>
      </c>
      <c r="H879" s="2">
        <v>673</v>
      </c>
      <c r="J879" s="174" t="s">
        <v>1879</v>
      </c>
      <c r="K879" s="398" t="s">
        <v>1880</v>
      </c>
    </row>
    <row r="880" spans="2:11" x14ac:dyDescent="0.25">
      <c r="B880" s="508"/>
      <c r="C880" s="18" t="s">
        <v>1885</v>
      </c>
      <c r="D880" s="18" t="s">
        <v>1886</v>
      </c>
      <c r="E880" s="107">
        <f t="shared" si="64"/>
        <v>809</v>
      </c>
      <c r="F880" s="14">
        <f t="shared" si="63"/>
        <v>1</v>
      </c>
      <c r="G880" s="14" t="s">
        <v>45</v>
      </c>
      <c r="H880" s="2">
        <v>1</v>
      </c>
      <c r="K880" s="398"/>
    </row>
    <row r="881" spans="2:11" x14ac:dyDescent="0.25">
      <c r="B881" s="508" t="str">
        <f>"S "&amp;(RIGHT(B879,3)+1)</f>
        <v>S 389</v>
      </c>
      <c r="C881" s="18" t="s">
        <v>1887</v>
      </c>
      <c r="D881" s="18" t="s">
        <v>1888</v>
      </c>
      <c r="E881" s="107">
        <f t="shared" si="64"/>
        <v>810</v>
      </c>
      <c r="F881" s="14">
        <f t="shared" si="63"/>
        <v>70</v>
      </c>
      <c r="G881" s="14" t="s">
        <v>1076</v>
      </c>
      <c r="H881" s="2">
        <v>70</v>
      </c>
      <c r="J881" s="174" t="s">
        <v>1879</v>
      </c>
      <c r="K881" s="398" t="s">
        <v>1880</v>
      </c>
    </row>
    <row r="882" spans="2:11" x14ac:dyDescent="0.25">
      <c r="B882" s="508"/>
      <c r="C882" s="18" t="s">
        <v>1889</v>
      </c>
      <c r="D882" s="18" t="s">
        <v>1890</v>
      </c>
      <c r="E882" s="107">
        <f t="shared" si="64"/>
        <v>811</v>
      </c>
      <c r="F882" s="14">
        <f t="shared" si="63"/>
        <v>2</v>
      </c>
      <c r="G882" s="14" t="s">
        <v>45</v>
      </c>
      <c r="H882" s="2">
        <v>2</v>
      </c>
    </row>
    <row r="883" spans="2:11" x14ac:dyDescent="0.25">
      <c r="B883" s="119"/>
      <c r="C883" s="46" t="s">
        <v>1891</v>
      </c>
      <c r="D883" s="47"/>
      <c r="E883" s="105"/>
      <c r="F883" s="14"/>
      <c r="G883" s="14"/>
    </row>
    <row r="884" spans="2:11" x14ac:dyDescent="0.25">
      <c r="B884" s="515" t="str">
        <f>"S "&amp;(RIGHT(B881,3)+1)</f>
        <v>S 390</v>
      </c>
      <c r="C884" s="18" t="s">
        <v>1892</v>
      </c>
      <c r="D884" s="18" t="s">
        <v>1893</v>
      </c>
      <c r="E884" s="107">
        <f>E882+1</f>
        <v>812</v>
      </c>
      <c r="F884" s="14">
        <f t="shared" ref="F884:F903" si="65">H884</f>
        <v>1</v>
      </c>
      <c r="G884" s="14" t="s">
        <v>45</v>
      </c>
      <c r="H884" s="2">
        <v>1</v>
      </c>
      <c r="I884" s="173" t="s">
        <v>1894</v>
      </c>
    </row>
    <row r="885" spans="2:11" x14ac:dyDescent="0.25">
      <c r="B885" s="516"/>
      <c r="C885" s="18" t="s">
        <v>1895</v>
      </c>
      <c r="D885" s="18" t="s">
        <v>1896</v>
      </c>
      <c r="E885" s="107">
        <f t="shared" ref="E885:E903" si="66">E884+1</f>
        <v>813</v>
      </c>
      <c r="F885" s="14">
        <f t="shared" si="65"/>
        <v>1</v>
      </c>
      <c r="G885" s="14" t="s">
        <v>45</v>
      </c>
      <c r="H885" s="2">
        <v>1</v>
      </c>
      <c r="I885" s="173" t="s">
        <v>1894</v>
      </c>
    </row>
    <row r="886" spans="2:11" x14ac:dyDescent="0.25">
      <c r="B886" s="516"/>
      <c r="C886" s="18" t="s">
        <v>1897</v>
      </c>
      <c r="D886" s="18" t="s">
        <v>1898</v>
      </c>
      <c r="E886" s="107">
        <f t="shared" si="66"/>
        <v>814</v>
      </c>
      <c r="F886" s="14">
        <f t="shared" si="65"/>
        <v>0</v>
      </c>
      <c r="G886" s="14" t="s">
        <v>45</v>
      </c>
      <c r="H886" s="2">
        <v>0</v>
      </c>
      <c r="I886" s="173" t="s">
        <v>1894</v>
      </c>
    </row>
    <row r="887" spans="2:11" x14ac:dyDescent="0.25">
      <c r="B887" s="516"/>
      <c r="C887" s="18" t="s">
        <v>1899</v>
      </c>
      <c r="D887" s="18" t="s">
        <v>1900</v>
      </c>
      <c r="E887" s="107">
        <f t="shared" si="66"/>
        <v>815</v>
      </c>
      <c r="F887" s="14">
        <f t="shared" si="65"/>
        <v>1</v>
      </c>
      <c r="G887" s="14" t="s">
        <v>45</v>
      </c>
      <c r="H887" s="2">
        <v>1</v>
      </c>
      <c r="I887" s="173" t="s">
        <v>1894</v>
      </c>
    </row>
    <row r="888" spans="2:11" x14ac:dyDescent="0.25">
      <c r="B888" s="516"/>
      <c r="C888" s="18" t="s">
        <v>1901</v>
      </c>
      <c r="D888" s="18" t="s">
        <v>1902</v>
      </c>
      <c r="E888" s="107">
        <f t="shared" si="66"/>
        <v>816</v>
      </c>
      <c r="F888" s="14">
        <f t="shared" si="65"/>
        <v>1</v>
      </c>
      <c r="G888" s="14" t="s">
        <v>45</v>
      </c>
      <c r="H888" s="2">
        <v>1</v>
      </c>
      <c r="I888" s="173" t="s">
        <v>1894</v>
      </c>
    </row>
    <row r="889" spans="2:11" x14ac:dyDescent="0.25">
      <c r="B889" s="516"/>
      <c r="C889" s="18" t="s">
        <v>1903</v>
      </c>
      <c r="D889" s="18" t="s">
        <v>1904</v>
      </c>
      <c r="E889" s="107">
        <f t="shared" si="66"/>
        <v>817</v>
      </c>
      <c r="F889" s="14">
        <f t="shared" si="65"/>
        <v>0</v>
      </c>
      <c r="G889" s="14" t="s">
        <v>45</v>
      </c>
      <c r="H889" s="2">
        <v>0</v>
      </c>
      <c r="I889" s="173" t="s">
        <v>1894</v>
      </c>
    </row>
    <row r="890" spans="2:11" x14ac:dyDescent="0.25">
      <c r="B890" s="516"/>
      <c r="C890" s="18" t="s">
        <v>1905</v>
      </c>
      <c r="D890" s="18" t="s">
        <v>1906</v>
      </c>
      <c r="E890" s="107">
        <f t="shared" si="66"/>
        <v>818</v>
      </c>
      <c r="F890" s="14">
        <f t="shared" si="65"/>
        <v>0</v>
      </c>
      <c r="G890" s="14" t="s">
        <v>45</v>
      </c>
      <c r="H890" s="2">
        <v>0</v>
      </c>
      <c r="I890" s="173" t="s">
        <v>1894</v>
      </c>
    </row>
    <row r="891" spans="2:11" x14ac:dyDescent="0.25">
      <c r="B891" s="516"/>
      <c r="C891" s="18" t="s">
        <v>1907</v>
      </c>
      <c r="D891" s="18" t="s">
        <v>1908</v>
      </c>
      <c r="E891" s="107">
        <f t="shared" si="66"/>
        <v>819</v>
      </c>
      <c r="F891" s="14">
        <f t="shared" si="65"/>
        <v>1</v>
      </c>
      <c r="G891" s="14" t="s">
        <v>45</v>
      </c>
      <c r="H891" s="2">
        <v>1</v>
      </c>
      <c r="I891" s="173" t="s">
        <v>1894</v>
      </c>
    </row>
    <row r="892" spans="2:11" x14ac:dyDescent="0.25">
      <c r="B892" s="516"/>
      <c r="C892" s="60" t="s">
        <v>1909</v>
      </c>
      <c r="D892" s="18" t="s">
        <v>1910</v>
      </c>
      <c r="E892" s="107">
        <f t="shared" si="66"/>
        <v>820</v>
      </c>
      <c r="F892" s="14">
        <f t="shared" si="65"/>
        <v>0</v>
      </c>
      <c r="G892" s="14" t="s">
        <v>45</v>
      </c>
      <c r="H892" s="2">
        <v>0</v>
      </c>
    </row>
    <row r="893" spans="2:11" x14ac:dyDescent="0.25">
      <c r="B893" s="517"/>
      <c r="C893" s="61"/>
      <c r="D893" s="18" t="s">
        <v>1911</v>
      </c>
      <c r="E893" s="107">
        <f t="shared" si="66"/>
        <v>821</v>
      </c>
      <c r="F893" s="14">
        <f t="shared" si="65"/>
        <v>0</v>
      </c>
      <c r="G893" s="14" t="s">
        <v>33</v>
      </c>
      <c r="H893" s="2">
        <v>0</v>
      </c>
    </row>
    <row r="894" spans="2:11" x14ac:dyDescent="0.25">
      <c r="B894" s="269" t="str">
        <f>"S "&amp;(RIGHT(B884,3)+1)</f>
        <v>S 391</v>
      </c>
      <c r="C894" s="18" t="s">
        <v>1912</v>
      </c>
      <c r="D894" s="18" t="s">
        <v>1913</v>
      </c>
      <c r="E894" s="107">
        <f t="shared" si="66"/>
        <v>822</v>
      </c>
      <c r="F894" s="14">
        <f t="shared" si="65"/>
        <v>0</v>
      </c>
      <c r="G894" s="14" t="s">
        <v>45</v>
      </c>
      <c r="H894" s="2">
        <v>0</v>
      </c>
    </row>
    <row r="895" spans="2:11" ht="24" customHeight="1" x14ac:dyDescent="0.25">
      <c r="B895" s="515" t="str">
        <f>"S "&amp;(RIGHT(B894,3)+1)</f>
        <v>S 392</v>
      </c>
      <c r="C895" s="18" t="s">
        <v>1914</v>
      </c>
      <c r="D895" s="18" t="s">
        <v>1915</v>
      </c>
      <c r="E895" s="107">
        <f t="shared" si="66"/>
        <v>823</v>
      </c>
      <c r="F895" s="14">
        <f t="shared" si="65"/>
        <v>1</v>
      </c>
      <c r="G895" s="14" t="s">
        <v>45</v>
      </c>
      <c r="H895" s="2">
        <v>1</v>
      </c>
      <c r="I895" s="173" t="s">
        <v>1916</v>
      </c>
    </row>
    <row r="896" spans="2:11" ht="24" customHeight="1" x14ac:dyDescent="0.25">
      <c r="B896" s="516"/>
      <c r="C896" s="18" t="s">
        <v>1917</v>
      </c>
      <c r="D896" s="18" t="s">
        <v>1918</v>
      </c>
      <c r="E896" s="107">
        <f t="shared" si="66"/>
        <v>824</v>
      </c>
      <c r="F896" s="14">
        <f t="shared" si="65"/>
        <v>1</v>
      </c>
      <c r="G896" s="14" t="s">
        <v>45</v>
      </c>
      <c r="H896" s="2">
        <v>1</v>
      </c>
      <c r="I896" s="173" t="s">
        <v>1916</v>
      </c>
    </row>
    <row r="897" spans="2:11" ht="24" customHeight="1" x14ac:dyDescent="0.25">
      <c r="B897" s="516"/>
      <c r="C897" s="18" t="s">
        <v>1919</v>
      </c>
      <c r="D897" s="18" t="s">
        <v>1920</v>
      </c>
      <c r="E897" s="107">
        <f t="shared" si="66"/>
        <v>825</v>
      </c>
      <c r="F897" s="14">
        <f t="shared" si="65"/>
        <v>1</v>
      </c>
      <c r="G897" s="14" t="s">
        <v>45</v>
      </c>
      <c r="H897" s="2">
        <v>1</v>
      </c>
      <c r="I897" s="173" t="s">
        <v>1916</v>
      </c>
    </row>
    <row r="898" spans="2:11" ht="24" customHeight="1" x14ac:dyDescent="0.25">
      <c r="B898" s="516"/>
      <c r="C898" s="18" t="s">
        <v>1921</v>
      </c>
      <c r="D898" s="18" t="s">
        <v>1922</v>
      </c>
      <c r="E898" s="107">
        <f t="shared" si="66"/>
        <v>826</v>
      </c>
      <c r="F898" s="14">
        <f t="shared" si="65"/>
        <v>1</v>
      </c>
      <c r="G898" s="14" t="s">
        <v>45</v>
      </c>
      <c r="H898" s="2">
        <v>1</v>
      </c>
      <c r="I898" s="173" t="s">
        <v>1916</v>
      </c>
    </row>
    <row r="899" spans="2:11" ht="24" customHeight="1" x14ac:dyDescent="0.25">
      <c r="B899" s="516"/>
      <c r="C899" s="18" t="s">
        <v>1923</v>
      </c>
      <c r="D899" s="18" t="s">
        <v>1924</v>
      </c>
      <c r="E899" s="107">
        <f t="shared" si="66"/>
        <v>827</v>
      </c>
      <c r="F899" s="14">
        <f t="shared" si="65"/>
        <v>0</v>
      </c>
      <c r="G899" s="14" t="s">
        <v>45</v>
      </c>
      <c r="H899" s="2">
        <v>0</v>
      </c>
      <c r="I899" s="173" t="s">
        <v>1916</v>
      </c>
    </row>
    <row r="900" spans="2:11" ht="24" customHeight="1" x14ac:dyDescent="0.25">
      <c r="B900" s="516"/>
      <c r="C900" s="18" t="s">
        <v>1925</v>
      </c>
      <c r="D900" s="18" t="s">
        <v>1926</v>
      </c>
      <c r="E900" s="107">
        <f t="shared" si="66"/>
        <v>828</v>
      </c>
      <c r="F900" s="14">
        <f t="shared" si="65"/>
        <v>0</v>
      </c>
      <c r="G900" s="14" t="s">
        <v>45</v>
      </c>
      <c r="H900" s="2">
        <v>0</v>
      </c>
      <c r="I900" s="173" t="s">
        <v>1916</v>
      </c>
    </row>
    <row r="901" spans="2:11" ht="24" customHeight="1" x14ac:dyDescent="0.25">
      <c r="B901" s="516"/>
      <c r="C901" s="18" t="s">
        <v>1927</v>
      </c>
      <c r="D901" s="18" t="s">
        <v>1928</v>
      </c>
      <c r="E901" s="107">
        <f t="shared" si="66"/>
        <v>829</v>
      </c>
      <c r="F901" s="14">
        <f t="shared" si="65"/>
        <v>1</v>
      </c>
      <c r="G901" s="14" t="s">
        <v>45</v>
      </c>
      <c r="H901" s="2">
        <v>1</v>
      </c>
      <c r="I901" s="173" t="s">
        <v>1916</v>
      </c>
    </row>
    <row r="902" spans="2:11" x14ac:dyDescent="0.25">
      <c r="B902" s="516"/>
      <c r="C902" s="60" t="s">
        <v>1929</v>
      </c>
      <c r="D902" s="18" t="s">
        <v>1930</v>
      </c>
      <c r="E902" s="107">
        <f t="shared" si="66"/>
        <v>830</v>
      </c>
      <c r="F902" s="14">
        <f t="shared" si="65"/>
        <v>0</v>
      </c>
      <c r="G902" s="14" t="s">
        <v>45</v>
      </c>
      <c r="H902" s="2">
        <v>0</v>
      </c>
    </row>
    <row r="903" spans="2:11" x14ac:dyDescent="0.25">
      <c r="B903" s="517"/>
      <c r="C903" s="61"/>
      <c r="D903" s="18" t="s">
        <v>1931</v>
      </c>
      <c r="E903" s="107">
        <f t="shared" si="66"/>
        <v>831</v>
      </c>
      <c r="F903" s="14" t="str">
        <f t="shared" si="65"/>
        <v>Tidak Ada</v>
      </c>
      <c r="G903" s="14" t="s">
        <v>33</v>
      </c>
      <c r="H903" s="2" t="s">
        <v>64</v>
      </c>
    </row>
    <row r="904" spans="2:11" x14ac:dyDescent="0.25">
      <c r="B904" s="269"/>
      <c r="C904" s="46" t="s">
        <v>1932</v>
      </c>
      <c r="D904" s="47"/>
      <c r="E904" s="105"/>
      <c r="F904" s="14"/>
      <c r="G904" s="14"/>
    </row>
    <row r="905" spans="2:11" ht="24" customHeight="1" x14ac:dyDescent="0.25">
      <c r="B905" s="515" t="str">
        <f>"S "&amp;(RIGHT(B895,3)+1)</f>
        <v>S 393</v>
      </c>
      <c r="C905" s="18" t="s">
        <v>1933</v>
      </c>
      <c r="D905" s="18" t="s">
        <v>1934</v>
      </c>
      <c r="E905" s="107">
        <f>E903+1</f>
        <v>832</v>
      </c>
      <c r="F905" s="14">
        <f t="shared" ref="F905:F912" si="67">H905</f>
        <v>1</v>
      </c>
      <c r="G905" s="14" t="s">
        <v>45</v>
      </c>
      <c r="H905" s="2">
        <v>1</v>
      </c>
      <c r="I905" s="173" t="s">
        <v>1935</v>
      </c>
      <c r="K905" s="398"/>
    </row>
    <row r="906" spans="2:11" x14ac:dyDescent="0.25">
      <c r="B906" s="516"/>
      <c r="C906" s="18" t="s">
        <v>1936</v>
      </c>
      <c r="D906" s="18" t="s">
        <v>1937</v>
      </c>
      <c r="E906" s="107">
        <f t="shared" ref="E906:E912" si="68">E905+1</f>
        <v>833</v>
      </c>
      <c r="F906" s="14">
        <f t="shared" si="67"/>
        <v>1335</v>
      </c>
      <c r="G906" s="14" t="s">
        <v>1076</v>
      </c>
      <c r="H906" s="2">
        <v>1335</v>
      </c>
      <c r="J906" s="174" t="s">
        <v>1938</v>
      </c>
      <c r="K906" s="398" t="s">
        <v>1939</v>
      </c>
    </row>
    <row r="907" spans="2:11" x14ac:dyDescent="0.25">
      <c r="B907" s="516"/>
      <c r="C907" s="18" t="s">
        <v>1940</v>
      </c>
      <c r="D907" s="18" t="s">
        <v>1941</v>
      </c>
      <c r="E907" s="107">
        <f t="shared" si="68"/>
        <v>834</v>
      </c>
      <c r="F907" s="14">
        <f t="shared" si="67"/>
        <v>15</v>
      </c>
      <c r="G907" s="14" t="s">
        <v>1076</v>
      </c>
      <c r="H907" s="2">
        <v>15</v>
      </c>
      <c r="J907" s="174" t="s">
        <v>1938</v>
      </c>
      <c r="K907" s="398" t="s">
        <v>1939</v>
      </c>
    </row>
    <row r="908" spans="2:11" x14ac:dyDescent="0.25">
      <c r="B908" s="516"/>
      <c r="C908" s="18" t="s">
        <v>1942</v>
      </c>
      <c r="D908" s="18" t="s">
        <v>1943</v>
      </c>
      <c r="E908" s="107">
        <f t="shared" si="68"/>
        <v>835</v>
      </c>
      <c r="F908" s="14">
        <f t="shared" si="67"/>
        <v>0</v>
      </c>
      <c r="G908" s="14" t="s">
        <v>1076</v>
      </c>
      <c r="H908" s="2">
        <v>0</v>
      </c>
      <c r="J908" s="174" t="s">
        <v>1938</v>
      </c>
      <c r="K908" s="398" t="s">
        <v>1939</v>
      </c>
    </row>
    <row r="909" spans="2:11" x14ac:dyDescent="0.25">
      <c r="B909" s="517"/>
      <c r="C909" s="18" t="s">
        <v>1944</v>
      </c>
      <c r="D909" s="18" t="s">
        <v>1945</v>
      </c>
      <c r="E909" s="107">
        <f t="shared" si="68"/>
        <v>836</v>
      </c>
      <c r="F909" s="14">
        <f t="shared" si="67"/>
        <v>0</v>
      </c>
      <c r="G909" s="14" t="s">
        <v>1076</v>
      </c>
      <c r="H909" s="2">
        <v>0</v>
      </c>
      <c r="J909" s="174" t="s">
        <v>1938</v>
      </c>
      <c r="K909" s="398" t="s">
        <v>1939</v>
      </c>
    </row>
    <row r="910" spans="2:11" x14ac:dyDescent="0.25">
      <c r="B910" s="269" t="str">
        <f>"S "&amp;(RIGHT(B905,3)+1)</f>
        <v>S 394</v>
      </c>
      <c r="C910" s="18" t="s">
        <v>1946</v>
      </c>
      <c r="D910" s="18" t="s">
        <v>1947</v>
      </c>
      <c r="E910" s="107">
        <f t="shared" si="68"/>
        <v>837</v>
      </c>
      <c r="F910" s="14">
        <f t="shared" si="67"/>
        <v>1</v>
      </c>
      <c r="G910" s="14" t="s">
        <v>45</v>
      </c>
      <c r="H910" s="2">
        <v>1</v>
      </c>
      <c r="I910" s="173" t="s">
        <v>1948</v>
      </c>
      <c r="K910" s="398"/>
    </row>
    <row r="911" spans="2:11" x14ac:dyDescent="0.25">
      <c r="B911" s="269" t="str">
        <f>"S "&amp;(RIGHT(B910,3)+1)</f>
        <v>S 395</v>
      </c>
      <c r="C911" s="18" t="s">
        <v>1949</v>
      </c>
      <c r="D911" s="18" t="s">
        <v>1950</v>
      </c>
      <c r="E911" s="107">
        <f t="shared" si="68"/>
        <v>838</v>
      </c>
      <c r="F911" s="14">
        <f t="shared" si="67"/>
        <v>1</v>
      </c>
      <c r="G911" s="14" t="s">
        <v>45</v>
      </c>
      <c r="H911" s="2">
        <v>1</v>
      </c>
      <c r="K911" s="398"/>
    </row>
    <row r="912" spans="2:11" x14ac:dyDescent="0.25">
      <c r="B912" s="269" t="str">
        <f>"S "&amp;(RIGHT(B911,3)+1)</f>
        <v>S 396</v>
      </c>
      <c r="C912" s="18" t="s">
        <v>1951</v>
      </c>
      <c r="D912" s="18" t="s">
        <v>1952</v>
      </c>
      <c r="E912" s="107">
        <f t="shared" si="68"/>
        <v>839</v>
      </c>
      <c r="F912" s="14">
        <f t="shared" si="67"/>
        <v>1</v>
      </c>
      <c r="G912" s="14" t="s">
        <v>45</v>
      </c>
      <c r="H912" s="2">
        <v>1</v>
      </c>
      <c r="K912" s="398"/>
    </row>
    <row r="913" spans="2:11" x14ac:dyDescent="0.25">
      <c r="B913" s="269"/>
      <c r="C913" s="46" t="s">
        <v>1953</v>
      </c>
      <c r="D913" s="47"/>
      <c r="E913" s="105"/>
      <c r="F913" s="14"/>
      <c r="G913" s="14"/>
      <c r="K913" s="398"/>
    </row>
    <row r="914" spans="2:11" x14ac:dyDescent="0.25">
      <c r="B914" s="515" t="str">
        <f>"S "&amp;(RIGHT(B912,3)+1)</f>
        <v>S 397</v>
      </c>
      <c r="C914" s="18" t="s">
        <v>1954</v>
      </c>
      <c r="D914" s="18" t="s">
        <v>1955</v>
      </c>
      <c r="E914" s="107">
        <f>E912+1</f>
        <v>840</v>
      </c>
      <c r="F914" s="14">
        <f t="shared" ref="F914:F929" si="69">H914</f>
        <v>1125</v>
      </c>
      <c r="G914" s="14" t="s">
        <v>1076</v>
      </c>
      <c r="H914" s="4">
        <v>1125</v>
      </c>
      <c r="I914" s="173" t="s">
        <v>1956</v>
      </c>
      <c r="J914" s="176" t="s">
        <v>1957</v>
      </c>
      <c r="K914" s="398" t="s">
        <v>1958</v>
      </c>
    </row>
    <row r="915" spans="2:11" x14ac:dyDescent="0.25">
      <c r="B915" s="517"/>
      <c r="C915" s="18" t="s">
        <v>1959</v>
      </c>
      <c r="D915" s="18" t="s">
        <v>1960</v>
      </c>
      <c r="E915" s="107">
        <f t="shared" ref="E915:E929" si="70">E914+1</f>
        <v>841</v>
      </c>
      <c r="F915" s="14">
        <f t="shared" si="69"/>
        <v>225</v>
      </c>
      <c r="G915" s="14" t="s">
        <v>1076</v>
      </c>
      <c r="H915" s="4">
        <v>225</v>
      </c>
      <c r="I915" s="173" t="s">
        <v>1956</v>
      </c>
      <c r="J915" s="176" t="s">
        <v>1957</v>
      </c>
      <c r="K915" s="398" t="s">
        <v>1958</v>
      </c>
    </row>
    <row r="916" spans="2:11" x14ac:dyDescent="0.25">
      <c r="B916" s="514" t="str">
        <f>"S "&amp;(RIGHT(B914,3)+1)</f>
        <v>S 398</v>
      </c>
      <c r="C916" s="18" t="s">
        <v>1961</v>
      </c>
      <c r="D916" s="18" t="s">
        <v>1962</v>
      </c>
      <c r="E916" s="107">
        <f t="shared" si="70"/>
        <v>842</v>
      </c>
      <c r="F916" s="14">
        <f t="shared" si="69"/>
        <v>0</v>
      </c>
      <c r="G916" s="14" t="s">
        <v>1076</v>
      </c>
      <c r="H916" s="4">
        <v>0</v>
      </c>
      <c r="I916" s="173" t="s">
        <v>1956</v>
      </c>
      <c r="J916" s="176" t="s">
        <v>1957</v>
      </c>
      <c r="K916" s="398" t="s">
        <v>1958</v>
      </c>
    </row>
    <row r="917" spans="2:11" x14ac:dyDescent="0.25">
      <c r="B917" s="514"/>
      <c r="C917" s="18" t="s">
        <v>1963</v>
      </c>
      <c r="D917" s="18" t="s">
        <v>1964</v>
      </c>
      <c r="E917" s="185">
        <f t="shared" si="70"/>
        <v>843</v>
      </c>
      <c r="F917" s="186">
        <f t="shared" si="69"/>
        <v>0</v>
      </c>
      <c r="G917" s="183" t="s">
        <v>1860</v>
      </c>
      <c r="H917" s="189">
        <v>0</v>
      </c>
      <c r="J917" s="174" t="s">
        <v>1292</v>
      </c>
    </row>
    <row r="918" spans="2:11" x14ac:dyDescent="0.25">
      <c r="B918" s="514" t="str">
        <f>"S "&amp;(RIGHT(B916,3)+1)</f>
        <v>S 399</v>
      </c>
      <c r="C918" s="18" t="s">
        <v>1965</v>
      </c>
      <c r="D918" s="18" t="s">
        <v>1966</v>
      </c>
      <c r="E918" s="107">
        <f t="shared" si="70"/>
        <v>844</v>
      </c>
      <c r="F918" s="19">
        <f t="shared" si="69"/>
        <v>0</v>
      </c>
      <c r="G918" s="14" t="s">
        <v>1076</v>
      </c>
      <c r="H918" s="4">
        <v>0</v>
      </c>
      <c r="J918" s="174" t="s">
        <v>1967</v>
      </c>
      <c r="K918" s="385">
        <v>263</v>
      </c>
    </row>
    <row r="919" spans="2:11" x14ac:dyDescent="0.25">
      <c r="B919" s="514"/>
      <c r="C919" s="18" t="s">
        <v>1968</v>
      </c>
      <c r="D919" s="18" t="s">
        <v>1969</v>
      </c>
      <c r="E919" s="107">
        <f t="shared" si="70"/>
        <v>845</v>
      </c>
      <c r="F919" s="14">
        <f t="shared" si="69"/>
        <v>0</v>
      </c>
      <c r="G919" s="14" t="s">
        <v>1076</v>
      </c>
      <c r="H919" s="4">
        <v>0</v>
      </c>
      <c r="J919" s="174" t="s">
        <v>1967</v>
      </c>
      <c r="K919" s="385">
        <v>263</v>
      </c>
    </row>
    <row r="920" spans="2:11" x14ac:dyDescent="0.25">
      <c r="B920" s="514"/>
      <c r="C920" s="18" t="s">
        <v>1970</v>
      </c>
      <c r="D920" s="18" t="s">
        <v>1971</v>
      </c>
      <c r="E920" s="107">
        <f t="shared" si="70"/>
        <v>846</v>
      </c>
      <c r="F920" s="14">
        <f t="shared" si="69"/>
        <v>0</v>
      </c>
      <c r="G920" s="14" t="s">
        <v>1076</v>
      </c>
      <c r="H920" s="4">
        <v>0</v>
      </c>
      <c r="J920" s="174" t="s">
        <v>1967</v>
      </c>
      <c r="K920" s="385">
        <v>263</v>
      </c>
    </row>
    <row r="921" spans="2:11" x14ac:dyDescent="0.25">
      <c r="B921" s="514"/>
      <c r="C921" s="18" t="s">
        <v>1972</v>
      </c>
      <c r="D921" s="18" t="s">
        <v>1973</v>
      </c>
      <c r="E921" s="107">
        <f t="shared" si="70"/>
        <v>847</v>
      </c>
      <c r="F921" s="14">
        <f t="shared" si="69"/>
        <v>1350</v>
      </c>
      <c r="G921" s="14" t="s">
        <v>1076</v>
      </c>
      <c r="H921" s="4">
        <v>1350</v>
      </c>
      <c r="J921" s="174" t="s">
        <v>1967</v>
      </c>
      <c r="K921" s="385">
        <v>263</v>
      </c>
    </row>
    <row r="922" spans="2:11" x14ac:dyDescent="0.25">
      <c r="B922" s="514"/>
      <c r="C922" s="18" t="s">
        <v>1974</v>
      </c>
      <c r="D922" s="18" t="s">
        <v>1975</v>
      </c>
      <c r="E922" s="107">
        <f t="shared" si="70"/>
        <v>848</v>
      </c>
      <c r="F922" s="14">
        <f t="shared" si="69"/>
        <v>0</v>
      </c>
      <c r="G922" s="14" t="s">
        <v>1076</v>
      </c>
      <c r="H922" s="4">
        <v>0</v>
      </c>
      <c r="J922" s="174" t="s">
        <v>1967</v>
      </c>
      <c r="K922" s="385">
        <v>263</v>
      </c>
    </row>
    <row r="923" spans="2:11" x14ac:dyDescent="0.25">
      <c r="B923" s="514"/>
      <c r="C923" s="18" t="s">
        <v>1976</v>
      </c>
      <c r="D923" s="18" t="s">
        <v>1977</v>
      </c>
      <c r="E923" s="107">
        <f t="shared" si="70"/>
        <v>849</v>
      </c>
      <c r="F923" s="14">
        <f t="shared" si="69"/>
        <v>0</v>
      </c>
      <c r="G923" s="14" t="s">
        <v>1076</v>
      </c>
      <c r="H923" s="4">
        <v>0</v>
      </c>
      <c r="J923" s="174" t="s">
        <v>1967</v>
      </c>
      <c r="K923" s="385">
        <v>263</v>
      </c>
    </row>
    <row r="924" spans="2:11" x14ac:dyDescent="0.25">
      <c r="B924" s="514"/>
      <c r="C924" s="18" t="s">
        <v>1978</v>
      </c>
      <c r="D924" s="18" t="s">
        <v>1979</v>
      </c>
      <c r="E924" s="107">
        <f t="shared" si="70"/>
        <v>850</v>
      </c>
      <c r="F924" s="14">
        <f t="shared" si="69"/>
        <v>0</v>
      </c>
      <c r="G924" s="14" t="s">
        <v>1076</v>
      </c>
      <c r="H924" s="4">
        <v>0</v>
      </c>
      <c r="J924" s="174" t="s">
        <v>1967</v>
      </c>
      <c r="K924" s="385">
        <v>263</v>
      </c>
    </row>
    <row r="925" spans="2:11" x14ac:dyDescent="0.25">
      <c r="B925" s="514"/>
      <c r="C925" s="184" t="s">
        <v>1980</v>
      </c>
      <c r="D925" s="184" t="s">
        <v>1981</v>
      </c>
      <c r="E925" s="185">
        <f t="shared" si="70"/>
        <v>851</v>
      </c>
      <c r="F925" s="183">
        <f t="shared" si="69"/>
        <v>1</v>
      </c>
      <c r="G925" s="183" t="s">
        <v>1982</v>
      </c>
      <c r="H925" s="188">
        <f>COUNTIF($H$918:$H$924,"&gt;0")</f>
        <v>1</v>
      </c>
      <c r="I925" s="187"/>
      <c r="J925" s="176" t="s">
        <v>1983</v>
      </c>
    </row>
    <row r="926" spans="2:11" x14ac:dyDescent="0.25">
      <c r="B926" s="515" t="str">
        <f>"S "&amp;(RIGHT(B918,3)+1)</f>
        <v>S 400</v>
      </c>
      <c r="C926" s="22" t="s">
        <v>1984</v>
      </c>
      <c r="D926" s="18" t="s">
        <v>1985</v>
      </c>
      <c r="E926" s="107">
        <f t="shared" si="70"/>
        <v>852</v>
      </c>
      <c r="F926" s="23">
        <f t="shared" si="69"/>
        <v>1</v>
      </c>
      <c r="G926" s="24" t="s">
        <v>45</v>
      </c>
      <c r="H926" s="2">
        <v>1</v>
      </c>
    </row>
    <row r="927" spans="2:11" x14ac:dyDescent="0.25">
      <c r="B927" s="516"/>
      <c r="C927" s="22" t="s">
        <v>1986</v>
      </c>
      <c r="D927" s="18" t="s">
        <v>1987</v>
      </c>
      <c r="E927" s="107">
        <f t="shared" si="70"/>
        <v>853</v>
      </c>
      <c r="F927" s="23">
        <f t="shared" si="69"/>
        <v>1</v>
      </c>
      <c r="G927" s="24" t="s">
        <v>45</v>
      </c>
      <c r="H927" s="2">
        <v>1</v>
      </c>
    </row>
    <row r="928" spans="2:11" x14ac:dyDescent="0.25">
      <c r="B928" s="516"/>
      <c r="C928" s="22" t="s">
        <v>1988</v>
      </c>
      <c r="D928" s="18" t="s">
        <v>1989</v>
      </c>
      <c r="E928" s="107">
        <f t="shared" si="70"/>
        <v>854</v>
      </c>
      <c r="F928" s="23">
        <f t="shared" si="69"/>
        <v>0</v>
      </c>
      <c r="G928" s="24" t="s">
        <v>45</v>
      </c>
      <c r="H928" s="2">
        <v>0</v>
      </c>
    </row>
    <row r="929" spans="2:11" x14ac:dyDescent="0.25">
      <c r="B929" s="517"/>
      <c r="C929" s="22" t="s">
        <v>1990</v>
      </c>
      <c r="D929" s="18" t="s">
        <v>1991</v>
      </c>
      <c r="E929" s="107">
        <f t="shared" si="70"/>
        <v>855</v>
      </c>
      <c r="F929" s="23">
        <f t="shared" si="69"/>
        <v>0</v>
      </c>
      <c r="G929" s="24" t="s">
        <v>45</v>
      </c>
      <c r="H929" s="2">
        <v>0</v>
      </c>
    </row>
    <row r="930" spans="2:11" x14ac:dyDescent="0.25">
      <c r="B930" s="269"/>
      <c r="C930" s="74" t="s">
        <v>1992</v>
      </c>
      <c r="D930" s="75"/>
      <c r="E930" s="105"/>
      <c r="F930" s="14"/>
      <c r="G930" s="14"/>
    </row>
    <row r="931" spans="2:11" x14ac:dyDescent="0.25">
      <c r="B931" s="269" t="str">
        <f>"S "&amp;(RIGHT(B926,3)+1)</f>
        <v>S 401</v>
      </c>
      <c r="C931" s="18" t="s">
        <v>1993</v>
      </c>
      <c r="D931" s="18" t="s">
        <v>1994</v>
      </c>
      <c r="E931" s="107">
        <f>E929+1</f>
        <v>856</v>
      </c>
      <c r="F931" s="14">
        <f t="shared" ref="F931:F955" si="71">H931</f>
        <v>1</v>
      </c>
      <c r="G931" s="14" t="s">
        <v>45</v>
      </c>
      <c r="H931" s="2">
        <v>1</v>
      </c>
      <c r="I931" s="173" t="s">
        <v>1995</v>
      </c>
    </row>
    <row r="932" spans="2:11" x14ac:dyDescent="0.25">
      <c r="B932" s="515" t="str">
        <f>"S "&amp;(RIGHT(B931,3)+1)</f>
        <v>S 402</v>
      </c>
      <c r="C932" s="18" t="s">
        <v>1996</v>
      </c>
      <c r="D932" s="18" t="s">
        <v>1997</v>
      </c>
      <c r="E932" s="107">
        <f t="shared" ref="E932:E955" si="72">E931+1</f>
        <v>857</v>
      </c>
      <c r="F932" s="14">
        <f t="shared" si="71"/>
        <v>1</v>
      </c>
      <c r="G932" s="14" t="s">
        <v>45</v>
      </c>
      <c r="H932" s="2">
        <v>1</v>
      </c>
    </row>
    <row r="933" spans="2:11" x14ac:dyDescent="0.25">
      <c r="B933" s="516"/>
      <c r="C933" s="18" t="s">
        <v>1998</v>
      </c>
      <c r="D933" s="18" t="s">
        <v>1999</v>
      </c>
      <c r="E933" s="107">
        <f t="shared" si="72"/>
        <v>858</v>
      </c>
      <c r="F933" s="14" t="str">
        <f t="shared" si="71"/>
        <v>4G LTE</v>
      </c>
      <c r="G933" s="14" t="s">
        <v>45</v>
      </c>
      <c r="H933" s="2" t="s">
        <v>2000</v>
      </c>
      <c r="J933" s="390" t="s">
        <v>64</v>
      </c>
      <c r="K933" s="385" t="s">
        <v>2001</v>
      </c>
    </row>
    <row r="934" spans="2:11" x14ac:dyDescent="0.25">
      <c r="B934" s="516"/>
      <c r="C934" s="18" t="s">
        <v>2002</v>
      </c>
      <c r="D934" s="18" t="s">
        <v>2003</v>
      </c>
      <c r="E934" s="107">
        <f t="shared" si="72"/>
        <v>859</v>
      </c>
      <c r="F934" s="14">
        <f t="shared" si="71"/>
        <v>1</v>
      </c>
      <c r="G934" s="14" t="s">
        <v>45</v>
      </c>
      <c r="H934" s="2">
        <v>1</v>
      </c>
      <c r="J934" s="390" t="s">
        <v>2004</v>
      </c>
    </row>
    <row r="935" spans="2:11" x14ac:dyDescent="0.25">
      <c r="B935" s="516"/>
      <c r="C935" s="18" t="s">
        <v>2005</v>
      </c>
      <c r="D935" s="18" t="s">
        <v>2006</v>
      </c>
      <c r="E935" s="107">
        <f t="shared" si="72"/>
        <v>860</v>
      </c>
      <c r="F935" s="14" t="str">
        <f t="shared" si="71"/>
        <v>4G LTE</v>
      </c>
      <c r="G935" s="14" t="s">
        <v>45</v>
      </c>
      <c r="H935" s="2" t="s">
        <v>2000</v>
      </c>
      <c r="J935" s="390" t="s">
        <v>2007</v>
      </c>
      <c r="K935" s="385" t="s">
        <v>2008</v>
      </c>
    </row>
    <row r="936" spans="2:11" x14ac:dyDescent="0.25">
      <c r="B936" s="516"/>
      <c r="C936" s="18" t="s">
        <v>2009</v>
      </c>
      <c r="D936" s="18" t="s">
        <v>2010</v>
      </c>
      <c r="E936" s="107">
        <f t="shared" si="72"/>
        <v>861</v>
      </c>
      <c r="F936" s="14">
        <f t="shared" si="71"/>
        <v>1</v>
      </c>
      <c r="G936" s="14" t="s">
        <v>45</v>
      </c>
      <c r="H936" s="2">
        <v>1</v>
      </c>
      <c r="J936" s="390" t="s">
        <v>2000</v>
      </c>
    </row>
    <row r="937" spans="2:11" x14ac:dyDescent="0.25">
      <c r="B937" s="516"/>
      <c r="C937" s="18" t="s">
        <v>2011</v>
      </c>
      <c r="D937" s="18" t="s">
        <v>2012</v>
      </c>
      <c r="E937" s="107">
        <f t="shared" si="72"/>
        <v>862</v>
      </c>
      <c r="F937" s="14" t="str">
        <f t="shared" si="71"/>
        <v>4G LTE</v>
      </c>
      <c r="G937" s="14" t="s">
        <v>45</v>
      </c>
      <c r="H937" s="2" t="s">
        <v>2000</v>
      </c>
      <c r="J937" s="390" t="s">
        <v>2013</v>
      </c>
      <c r="K937" s="385" t="s">
        <v>2014</v>
      </c>
    </row>
    <row r="938" spans="2:11" x14ac:dyDescent="0.25">
      <c r="B938" s="516"/>
      <c r="C938" s="60" t="s">
        <v>2015</v>
      </c>
      <c r="D938" s="18" t="s">
        <v>2016</v>
      </c>
      <c r="E938" s="107">
        <f t="shared" si="72"/>
        <v>863</v>
      </c>
      <c r="F938" s="14">
        <f t="shared" si="71"/>
        <v>1</v>
      </c>
      <c r="G938" s="14" t="s">
        <v>45</v>
      </c>
      <c r="H938" s="2">
        <v>1</v>
      </c>
      <c r="J938" s="390"/>
    </row>
    <row r="939" spans="2:11" x14ac:dyDescent="0.25">
      <c r="B939" s="516"/>
      <c r="C939" s="61"/>
      <c r="D939" s="18" t="s">
        <v>2017</v>
      </c>
      <c r="E939" s="107">
        <f t="shared" si="72"/>
        <v>864</v>
      </c>
      <c r="F939" s="14" t="str">
        <f t="shared" si="71"/>
        <v>Tri (3)</v>
      </c>
      <c r="G939" s="14" t="s">
        <v>33</v>
      </c>
      <c r="H939" s="2" t="s">
        <v>2018</v>
      </c>
      <c r="J939" s="390"/>
    </row>
    <row r="940" spans="2:11" x14ac:dyDescent="0.25">
      <c r="B940" s="517"/>
      <c r="C940" s="18" t="s">
        <v>2019</v>
      </c>
      <c r="D940" s="18" t="s">
        <v>2020</v>
      </c>
      <c r="E940" s="107">
        <f t="shared" si="72"/>
        <v>865</v>
      </c>
      <c r="F940" s="14" t="str">
        <f t="shared" si="71"/>
        <v>4G LTE</v>
      </c>
      <c r="G940" s="14" t="s">
        <v>45</v>
      </c>
      <c r="H940" s="2" t="s">
        <v>2000</v>
      </c>
      <c r="J940" s="390" t="s">
        <v>278</v>
      </c>
      <c r="K940" s="385" t="s">
        <v>2021</v>
      </c>
    </row>
    <row r="941" spans="2:11" x14ac:dyDescent="0.25">
      <c r="B941" s="269" t="str">
        <f>"S "&amp;(RIGHT(B932,3)+1)</f>
        <v>S 403</v>
      </c>
      <c r="C941" s="18" t="s">
        <v>2022</v>
      </c>
      <c r="D941" s="18" t="s">
        <v>2023</v>
      </c>
      <c r="E941" s="107">
        <f t="shared" si="72"/>
        <v>866</v>
      </c>
      <c r="F941" s="14">
        <f t="shared" si="71"/>
        <v>1</v>
      </c>
      <c r="G941" s="14" t="s">
        <v>45</v>
      </c>
      <c r="H941" s="2">
        <v>1</v>
      </c>
      <c r="J941" s="390" t="s">
        <v>2024</v>
      </c>
    </row>
    <row r="942" spans="2:11" x14ac:dyDescent="0.25">
      <c r="B942" s="269" t="str">
        <f>"S "&amp;(RIGHT(B941,3)+1)</f>
        <v>S 404</v>
      </c>
      <c r="C942" s="18" t="s">
        <v>2025</v>
      </c>
      <c r="D942" s="18" t="s">
        <v>2026</v>
      </c>
      <c r="E942" s="107">
        <f t="shared" si="72"/>
        <v>867</v>
      </c>
      <c r="F942" s="14">
        <f t="shared" si="71"/>
        <v>1</v>
      </c>
      <c r="G942" s="14" t="s">
        <v>45</v>
      </c>
      <c r="H942" s="2">
        <v>1</v>
      </c>
      <c r="J942" s="390" t="s">
        <v>2027</v>
      </c>
    </row>
    <row r="943" spans="2:11" x14ac:dyDescent="0.25">
      <c r="B943" s="264" t="str">
        <f>"S "&amp;(RIGHT(B942,3)+1)</f>
        <v>S 405</v>
      </c>
      <c r="C943" s="18" t="s">
        <v>2028</v>
      </c>
      <c r="D943" s="18" t="s">
        <v>2029</v>
      </c>
      <c r="E943" s="107">
        <f t="shared" si="72"/>
        <v>868</v>
      </c>
      <c r="F943" s="14">
        <f t="shared" si="71"/>
        <v>1</v>
      </c>
      <c r="G943" s="14" t="s">
        <v>45</v>
      </c>
      <c r="H943" s="2">
        <v>1</v>
      </c>
      <c r="J943" s="390" t="s">
        <v>2030</v>
      </c>
    </row>
    <row r="944" spans="2:11" ht="24" customHeight="1" x14ac:dyDescent="0.25">
      <c r="B944" s="515" t="str">
        <f>"S "&amp;(RIGHT(B943,3)+1)</f>
        <v>S 406</v>
      </c>
      <c r="C944" s="18" t="s">
        <v>2031</v>
      </c>
      <c r="D944" s="18" t="s">
        <v>2032</v>
      </c>
      <c r="E944" s="107">
        <f t="shared" si="72"/>
        <v>869</v>
      </c>
      <c r="F944" s="14">
        <f t="shared" si="71"/>
        <v>1</v>
      </c>
      <c r="G944" s="14" t="s">
        <v>45</v>
      </c>
      <c r="H944" s="2">
        <v>1</v>
      </c>
      <c r="I944" s="173" t="s">
        <v>2033</v>
      </c>
      <c r="J944" s="390" t="s">
        <v>2034</v>
      </c>
    </row>
    <row r="945" spans="2:11" x14ac:dyDescent="0.25">
      <c r="B945" s="516"/>
      <c r="C945" s="18" t="s">
        <v>2035</v>
      </c>
      <c r="D945" s="18" t="s">
        <v>2036</v>
      </c>
      <c r="E945" s="107">
        <f t="shared" si="72"/>
        <v>870</v>
      </c>
      <c r="F945" s="14" t="str">
        <f t="shared" si="71"/>
        <v>4G LTE</v>
      </c>
      <c r="G945" s="14" t="s">
        <v>45</v>
      </c>
      <c r="H945" s="2" t="s">
        <v>2000</v>
      </c>
      <c r="J945" s="390" t="s">
        <v>2037</v>
      </c>
      <c r="K945" s="385" t="s">
        <v>2038</v>
      </c>
    </row>
    <row r="946" spans="2:11" x14ac:dyDescent="0.25">
      <c r="B946" s="516"/>
      <c r="C946" s="18" t="s">
        <v>2039</v>
      </c>
      <c r="D946" s="18" t="s">
        <v>2040</v>
      </c>
      <c r="E946" s="107">
        <f t="shared" si="72"/>
        <v>871</v>
      </c>
      <c r="F946" s="14" t="str">
        <f t="shared" si="71"/>
        <v>Indihome</v>
      </c>
      <c r="G946" s="14" t="s">
        <v>45</v>
      </c>
      <c r="H946" s="2" t="s">
        <v>2024</v>
      </c>
      <c r="J946" s="390" t="s">
        <v>2041</v>
      </c>
      <c r="K946" s="385" t="s">
        <v>2038</v>
      </c>
    </row>
    <row r="947" spans="2:11" x14ac:dyDescent="0.25">
      <c r="B947" s="517"/>
      <c r="C947" s="18" t="s">
        <v>2042</v>
      </c>
      <c r="D947" s="18" t="s">
        <v>2043</v>
      </c>
      <c r="E947" s="107">
        <f t="shared" si="72"/>
        <v>872</v>
      </c>
      <c r="F947" s="14">
        <f t="shared" si="71"/>
        <v>0</v>
      </c>
      <c r="G947" s="14" t="s">
        <v>33</v>
      </c>
      <c r="H947" s="2">
        <v>0</v>
      </c>
      <c r="J947" s="390" t="s">
        <v>2044</v>
      </c>
    </row>
    <row r="948" spans="2:11" ht="24" customHeight="1" x14ac:dyDescent="0.25">
      <c r="B948" s="269" t="str">
        <f>"S "&amp;(RIGHT(B944,3)+1)</f>
        <v>S 407</v>
      </c>
      <c r="C948" s="18" t="s">
        <v>2045</v>
      </c>
      <c r="D948" s="18" t="s">
        <v>2046</v>
      </c>
      <c r="E948" s="107">
        <f t="shared" si="72"/>
        <v>873</v>
      </c>
      <c r="F948" s="14">
        <f t="shared" si="71"/>
        <v>1</v>
      </c>
      <c r="G948" s="14" t="s">
        <v>45</v>
      </c>
      <c r="H948" s="2">
        <v>1</v>
      </c>
      <c r="I948" s="173" t="s">
        <v>2047</v>
      </c>
      <c r="J948" s="390" t="s">
        <v>2048</v>
      </c>
    </row>
    <row r="949" spans="2:11" x14ac:dyDescent="0.25">
      <c r="B949" s="515" t="str">
        <f>"S "&amp;(RIGHT(B948,3)+1)</f>
        <v>S 408</v>
      </c>
      <c r="C949" s="18" t="s">
        <v>2049</v>
      </c>
      <c r="D949" s="18" t="s">
        <v>2050</v>
      </c>
      <c r="E949" s="107">
        <f t="shared" si="72"/>
        <v>874</v>
      </c>
      <c r="F949" s="14">
        <f t="shared" si="71"/>
        <v>1</v>
      </c>
      <c r="G949" s="14" t="s">
        <v>45</v>
      </c>
      <c r="H949" s="2">
        <v>1</v>
      </c>
      <c r="J949" s="390" t="s">
        <v>2051</v>
      </c>
    </row>
    <row r="950" spans="2:11" x14ac:dyDescent="0.25">
      <c r="B950" s="516"/>
      <c r="C950" s="18" t="s">
        <v>2052</v>
      </c>
      <c r="D950" s="18" t="s">
        <v>2053</v>
      </c>
      <c r="E950" s="107">
        <f t="shared" si="72"/>
        <v>875</v>
      </c>
      <c r="F950" s="14">
        <f t="shared" si="71"/>
        <v>1</v>
      </c>
      <c r="G950" s="14" t="s">
        <v>45</v>
      </c>
      <c r="H950" s="2">
        <v>1</v>
      </c>
      <c r="J950" s="390" t="s">
        <v>2054</v>
      </c>
    </row>
    <row r="951" spans="2:11" x14ac:dyDescent="0.25">
      <c r="B951" s="516"/>
      <c r="C951" s="60" t="s">
        <v>2055</v>
      </c>
      <c r="D951" s="18" t="s">
        <v>2056</v>
      </c>
      <c r="E951" s="107">
        <f t="shared" si="72"/>
        <v>876</v>
      </c>
      <c r="F951" s="14">
        <f t="shared" si="71"/>
        <v>1</v>
      </c>
      <c r="G951" s="14" t="s">
        <v>45</v>
      </c>
      <c r="H951" s="2">
        <v>1</v>
      </c>
      <c r="J951" s="390" t="s">
        <v>46</v>
      </c>
    </row>
    <row r="952" spans="2:11" x14ac:dyDescent="0.25">
      <c r="B952" s="517"/>
      <c r="C952" s="61"/>
      <c r="D952" s="18" t="s">
        <v>2057</v>
      </c>
      <c r="E952" s="107">
        <f t="shared" si="72"/>
        <v>877</v>
      </c>
      <c r="F952" s="14" t="str">
        <f t="shared" si="71"/>
        <v>FACEBOOK, IG, TWITTER DAN WEBSITE</v>
      </c>
      <c r="G952" s="14" t="s">
        <v>33</v>
      </c>
      <c r="H952" s="2" t="s">
        <v>2058</v>
      </c>
    </row>
    <row r="953" spans="2:11" x14ac:dyDescent="0.25">
      <c r="B953" s="269" t="str">
        <f>"S "&amp;(RIGHT(B949,3)+1)</f>
        <v>S 409</v>
      </c>
      <c r="C953" s="18" t="s">
        <v>2059</v>
      </c>
      <c r="D953" s="18" t="s">
        <v>2060</v>
      </c>
      <c r="E953" s="107">
        <f t="shared" si="72"/>
        <v>878</v>
      </c>
      <c r="F953" s="14">
        <f t="shared" si="71"/>
        <v>1</v>
      </c>
      <c r="G953" s="14" t="s">
        <v>45</v>
      </c>
      <c r="H953" s="2">
        <v>1</v>
      </c>
    </row>
    <row r="954" spans="2:11" x14ac:dyDescent="0.25">
      <c r="B954" s="269" t="str">
        <f>"S "&amp;(RIGHT(B953,3)+1)</f>
        <v>S 410</v>
      </c>
      <c r="C954" s="18" t="s">
        <v>2061</v>
      </c>
      <c r="D954" s="18" t="s">
        <v>2062</v>
      </c>
      <c r="E954" s="107">
        <f t="shared" si="72"/>
        <v>879</v>
      </c>
      <c r="F954" s="14">
        <f t="shared" si="71"/>
        <v>1</v>
      </c>
      <c r="G954" s="14" t="s">
        <v>45</v>
      </c>
      <c r="H954" s="2">
        <v>1</v>
      </c>
    </row>
    <row r="955" spans="2:11" x14ac:dyDescent="0.25">
      <c r="B955" s="269" t="str">
        <f>"S "&amp;(RIGHT(B954,3)+1)</f>
        <v>S 411</v>
      </c>
      <c r="C955" s="18" t="s">
        <v>2063</v>
      </c>
      <c r="D955" s="18" t="s">
        <v>2064</v>
      </c>
      <c r="E955" s="107">
        <f t="shared" si="72"/>
        <v>880</v>
      </c>
      <c r="F955" s="14">
        <f t="shared" si="71"/>
        <v>3700</v>
      </c>
      <c r="G955" s="14" t="s">
        <v>1151</v>
      </c>
      <c r="H955" s="4">
        <v>3700</v>
      </c>
    </row>
    <row r="956" spans="2:11" x14ac:dyDescent="0.25">
      <c r="B956" s="540" t="s">
        <v>2065</v>
      </c>
      <c r="C956" s="541"/>
      <c r="D956" s="542"/>
      <c r="E956" s="105"/>
      <c r="F956" s="14"/>
      <c r="G956" s="14"/>
    </row>
    <row r="957" spans="2:11" x14ac:dyDescent="0.25">
      <c r="B957" s="121"/>
      <c r="C957" s="51" t="s">
        <v>2066</v>
      </c>
      <c r="D957" s="52"/>
      <c r="E957" s="105"/>
      <c r="F957" s="14"/>
      <c r="G957" s="134"/>
    </row>
    <row r="958" spans="2:11" x14ac:dyDescent="0.25">
      <c r="B958" s="258" t="str">
        <f>"E "&amp;401</f>
        <v>E 401</v>
      </c>
      <c r="C958" s="25" t="s">
        <v>2067</v>
      </c>
      <c r="D958" s="25" t="s">
        <v>2068</v>
      </c>
      <c r="E958" s="107">
        <f>E955+1</f>
        <v>881</v>
      </c>
      <c r="F958" s="14">
        <f>H958</f>
        <v>3</v>
      </c>
      <c r="G958" s="14" t="s">
        <v>45</v>
      </c>
      <c r="H958" s="2">
        <v>3</v>
      </c>
    </row>
    <row r="959" spans="2:11" x14ac:dyDescent="0.25">
      <c r="B959" s="260"/>
      <c r="C959" s="69" t="s">
        <v>2069</v>
      </c>
      <c r="D959" s="25"/>
      <c r="E959" s="133"/>
      <c r="F959" s="14"/>
      <c r="G959" s="14"/>
      <c r="K959" s="174" t="s">
        <v>47</v>
      </c>
    </row>
    <row r="960" spans="2:11" x14ac:dyDescent="0.25">
      <c r="B960" s="505" t="str">
        <f>"E "&amp;(RIGHT(B958,3)+1)</f>
        <v>E 402</v>
      </c>
      <c r="C960" s="69" t="s">
        <v>2070</v>
      </c>
      <c r="D960" s="25" t="s">
        <v>2071</v>
      </c>
      <c r="E960" s="107">
        <f>E958+1</f>
        <v>882</v>
      </c>
      <c r="F960" s="14" t="str">
        <f t="shared" ref="F960:F991" si="73">H960</f>
        <v>Tidak Ada</v>
      </c>
      <c r="G960" s="14" t="s">
        <v>45</v>
      </c>
      <c r="H960" s="2" t="s">
        <v>64</v>
      </c>
      <c r="K960" s="385" t="s">
        <v>2072</v>
      </c>
    </row>
    <row r="961" spans="2:11" x14ac:dyDescent="0.25">
      <c r="B961" s="505"/>
      <c r="C961" s="25" t="s">
        <v>2073</v>
      </c>
      <c r="D961" s="25" t="s">
        <v>2074</v>
      </c>
      <c r="E961" s="107">
        <f t="shared" ref="E961:E992" si="74">E960+1</f>
        <v>883</v>
      </c>
      <c r="F961" s="14">
        <f t="shared" si="73"/>
        <v>0</v>
      </c>
      <c r="G961" s="14" t="s">
        <v>230</v>
      </c>
      <c r="H961" s="4">
        <v>0</v>
      </c>
      <c r="J961" s="177" t="s">
        <v>2075</v>
      </c>
      <c r="K961" s="385" t="s">
        <v>2076</v>
      </c>
    </row>
    <row r="962" spans="2:11" x14ac:dyDescent="0.25">
      <c r="B962" s="505"/>
      <c r="C962" s="25" t="s">
        <v>2077</v>
      </c>
      <c r="D962" s="25" t="s">
        <v>2078</v>
      </c>
      <c r="E962" s="107">
        <f t="shared" si="74"/>
        <v>884</v>
      </c>
      <c r="F962" s="14">
        <f t="shared" si="73"/>
        <v>0</v>
      </c>
      <c r="G962" s="14" t="s">
        <v>2079</v>
      </c>
      <c r="H962" s="2">
        <v>0</v>
      </c>
      <c r="K962" s="385" t="s">
        <v>2080</v>
      </c>
    </row>
    <row r="963" spans="2:11" x14ac:dyDescent="0.25">
      <c r="B963" s="505"/>
      <c r="C963" s="25" t="s">
        <v>2081</v>
      </c>
      <c r="D963" s="25" t="s">
        <v>2082</v>
      </c>
      <c r="E963" s="107">
        <f t="shared" si="74"/>
        <v>885</v>
      </c>
      <c r="F963" s="14">
        <f t="shared" si="73"/>
        <v>0</v>
      </c>
      <c r="G963" s="14" t="s">
        <v>864</v>
      </c>
      <c r="H963" s="2">
        <v>0</v>
      </c>
      <c r="J963" s="177" t="s">
        <v>2075</v>
      </c>
      <c r="K963" s="385" t="s">
        <v>2083</v>
      </c>
    </row>
    <row r="964" spans="2:11" x14ac:dyDescent="0.25">
      <c r="B964" s="505" t="str">
        <f>"E "&amp;(RIGHT(B960,3)+1)</f>
        <v>E 403</v>
      </c>
      <c r="C964" s="69" t="s">
        <v>2084</v>
      </c>
      <c r="D964" s="25" t="s">
        <v>2085</v>
      </c>
      <c r="E964" s="107">
        <f t="shared" si="74"/>
        <v>886</v>
      </c>
      <c r="F964" s="14" t="str">
        <f t="shared" si="73"/>
        <v>Tidak Ada</v>
      </c>
      <c r="G964" s="14" t="s">
        <v>45</v>
      </c>
      <c r="H964" s="2" t="s">
        <v>64</v>
      </c>
      <c r="K964" s="385" t="s">
        <v>2086</v>
      </c>
    </row>
    <row r="965" spans="2:11" x14ac:dyDescent="0.25">
      <c r="B965" s="505"/>
      <c r="C965" s="25" t="s">
        <v>2087</v>
      </c>
      <c r="D965" s="25" t="s">
        <v>2088</v>
      </c>
      <c r="E965" s="107">
        <f t="shared" si="74"/>
        <v>887</v>
      </c>
      <c r="F965" s="14">
        <f t="shared" si="73"/>
        <v>0</v>
      </c>
      <c r="G965" s="14" t="s">
        <v>230</v>
      </c>
      <c r="H965" s="2">
        <v>0</v>
      </c>
      <c r="J965" s="177" t="s">
        <v>2075</v>
      </c>
      <c r="K965" s="385" t="s">
        <v>2089</v>
      </c>
    </row>
    <row r="966" spans="2:11" x14ac:dyDescent="0.25">
      <c r="B966" s="505"/>
      <c r="C966" s="25" t="s">
        <v>2077</v>
      </c>
      <c r="D966" s="25" t="s">
        <v>2090</v>
      </c>
      <c r="E966" s="107">
        <f t="shared" si="74"/>
        <v>888</v>
      </c>
      <c r="F966" s="14">
        <f t="shared" si="73"/>
        <v>0</v>
      </c>
      <c r="G966" s="14" t="s">
        <v>2079</v>
      </c>
      <c r="H966" s="2">
        <v>0</v>
      </c>
      <c r="K966" s="385" t="s">
        <v>2091</v>
      </c>
    </row>
    <row r="967" spans="2:11" x14ac:dyDescent="0.25">
      <c r="B967" s="505"/>
      <c r="C967" s="25" t="s">
        <v>2081</v>
      </c>
      <c r="D967" s="25" t="s">
        <v>2092</v>
      </c>
      <c r="E967" s="107">
        <f t="shared" si="74"/>
        <v>889</v>
      </c>
      <c r="F967" s="14">
        <f t="shared" si="73"/>
        <v>0</v>
      </c>
      <c r="G967" s="14" t="s">
        <v>864</v>
      </c>
      <c r="H967" s="2">
        <v>0</v>
      </c>
      <c r="J967" s="177" t="s">
        <v>2075</v>
      </c>
      <c r="K967" s="385" t="s">
        <v>2093</v>
      </c>
    </row>
    <row r="968" spans="2:11" x14ac:dyDescent="0.25">
      <c r="B968" s="505" t="str">
        <f>"E "&amp;(RIGHT(B964,3)+1)</f>
        <v>E 404</v>
      </c>
      <c r="C968" s="69" t="s">
        <v>2094</v>
      </c>
      <c r="D968" s="25" t="s">
        <v>2095</v>
      </c>
      <c r="E968" s="107">
        <f t="shared" si="74"/>
        <v>890</v>
      </c>
      <c r="F968" s="14" t="str">
        <f t="shared" si="73"/>
        <v>Tidak Ada</v>
      </c>
      <c r="G968" s="14" t="s">
        <v>45</v>
      </c>
      <c r="H968" s="2" t="s">
        <v>64</v>
      </c>
      <c r="K968" s="385" t="s">
        <v>2096</v>
      </c>
    </row>
    <row r="969" spans="2:11" x14ac:dyDescent="0.25">
      <c r="B969" s="505"/>
      <c r="C969" s="25" t="s">
        <v>2097</v>
      </c>
      <c r="D969" s="25" t="s">
        <v>2098</v>
      </c>
      <c r="E969" s="107">
        <f t="shared" si="74"/>
        <v>891</v>
      </c>
      <c r="F969" s="14">
        <f t="shared" si="73"/>
        <v>0</v>
      </c>
      <c r="G969" s="14" t="s">
        <v>230</v>
      </c>
      <c r="H969" s="2">
        <v>0</v>
      </c>
      <c r="J969" s="177" t="s">
        <v>2075</v>
      </c>
      <c r="K969" s="385" t="s">
        <v>2099</v>
      </c>
    </row>
    <row r="970" spans="2:11" x14ac:dyDescent="0.25">
      <c r="B970" s="505"/>
      <c r="C970" s="25" t="s">
        <v>2077</v>
      </c>
      <c r="D970" s="25" t="s">
        <v>2100</v>
      </c>
      <c r="E970" s="107">
        <f t="shared" si="74"/>
        <v>892</v>
      </c>
      <c r="F970" s="14">
        <f t="shared" si="73"/>
        <v>0</v>
      </c>
      <c r="G970" s="14" t="s">
        <v>2079</v>
      </c>
      <c r="H970" s="2">
        <v>0</v>
      </c>
      <c r="K970" s="385" t="s">
        <v>2101</v>
      </c>
    </row>
    <row r="971" spans="2:11" x14ac:dyDescent="0.25">
      <c r="B971" s="505"/>
      <c r="C971" s="25" t="s">
        <v>2081</v>
      </c>
      <c r="D971" s="25" t="s">
        <v>2102</v>
      </c>
      <c r="E971" s="107">
        <f t="shared" si="74"/>
        <v>893</v>
      </c>
      <c r="F971" s="14">
        <f t="shared" si="73"/>
        <v>0</v>
      </c>
      <c r="G971" s="14" t="s">
        <v>864</v>
      </c>
      <c r="H971" s="2">
        <v>0</v>
      </c>
      <c r="J971" s="177" t="s">
        <v>2075</v>
      </c>
      <c r="K971" s="385" t="s">
        <v>2103</v>
      </c>
    </row>
    <row r="972" spans="2:11" x14ac:dyDescent="0.25">
      <c r="B972" s="505" t="str">
        <f>"E "&amp;(RIGHT(B968,3)+1)</f>
        <v>E 405</v>
      </c>
      <c r="C972" s="69" t="s">
        <v>2104</v>
      </c>
      <c r="D972" s="25" t="s">
        <v>2105</v>
      </c>
      <c r="E972" s="107">
        <f t="shared" si="74"/>
        <v>894</v>
      </c>
      <c r="F972" s="14" t="str">
        <f t="shared" si="73"/>
        <v>Tidak Ada</v>
      </c>
      <c r="G972" s="14" t="s">
        <v>45</v>
      </c>
      <c r="H972" s="2" t="s">
        <v>64</v>
      </c>
      <c r="K972" s="385" t="s">
        <v>2106</v>
      </c>
    </row>
    <row r="973" spans="2:11" x14ac:dyDescent="0.25">
      <c r="B973" s="505"/>
      <c r="C973" s="25" t="s">
        <v>2107</v>
      </c>
      <c r="D973" s="25" t="s">
        <v>2108</v>
      </c>
      <c r="E973" s="107">
        <f t="shared" si="74"/>
        <v>895</v>
      </c>
      <c r="F973" s="14">
        <f t="shared" si="73"/>
        <v>0</v>
      </c>
      <c r="G973" s="14" t="s">
        <v>230</v>
      </c>
      <c r="H973" s="2">
        <v>0</v>
      </c>
      <c r="J973" s="177" t="s">
        <v>2075</v>
      </c>
      <c r="K973" s="385" t="s">
        <v>2109</v>
      </c>
    </row>
    <row r="974" spans="2:11" x14ac:dyDescent="0.25">
      <c r="B974" s="505"/>
      <c r="C974" s="25" t="s">
        <v>2077</v>
      </c>
      <c r="D974" s="25" t="s">
        <v>2110</v>
      </c>
      <c r="E974" s="107">
        <f t="shared" si="74"/>
        <v>896</v>
      </c>
      <c r="F974" s="14">
        <f t="shared" si="73"/>
        <v>0</v>
      </c>
      <c r="G974" s="14" t="s">
        <v>2079</v>
      </c>
      <c r="H974" s="2">
        <v>0</v>
      </c>
      <c r="K974" s="385" t="s">
        <v>2111</v>
      </c>
    </row>
    <row r="975" spans="2:11" x14ac:dyDescent="0.25">
      <c r="B975" s="505"/>
      <c r="C975" s="25" t="s">
        <v>2081</v>
      </c>
      <c r="D975" s="25" t="s">
        <v>2112</v>
      </c>
      <c r="E975" s="107">
        <f t="shared" si="74"/>
        <v>897</v>
      </c>
      <c r="F975" s="14">
        <f t="shared" si="73"/>
        <v>0</v>
      </c>
      <c r="G975" s="14" t="s">
        <v>864</v>
      </c>
      <c r="H975" s="2">
        <v>0</v>
      </c>
      <c r="J975" s="177" t="s">
        <v>2075</v>
      </c>
      <c r="K975" s="385" t="s">
        <v>2113</v>
      </c>
    </row>
    <row r="976" spans="2:11" x14ac:dyDescent="0.25">
      <c r="B976" s="505" t="str">
        <f>"E "&amp;(RIGHT(B972,3)+1)</f>
        <v>E 406</v>
      </c>
      <c r="C976" s="69" t="s">
        <v>2114</v>
      </c>
      <c r="D976" s="25" t="s">
        <v>2115</v>
      </c>
      <c r="E976" s="107">
        <f t="shared" si="74"/>
        <v>898</v>
      </c>
      <c r="F976" s="14" t="str">
        <f t="shared" si="73"/>
        <v>Tidak Ada</v>
      </c>
      <c r="G976" s="14" t="s">
        <v>45</v>
      </c>
      <c r="H976" s="2" t="s">
        <v>64</v>
      </c>
      <c r="K976" s="385" t="s">
        <v>2116</v>
      </c>
    </row>
    <row r="977" spans="2:11" x14ac:dyDescent="0.25">
      <c r="B977" s="505"/>
      <c r="C977" s="25" t="s">
        <v>2117</v>
      </c>
      <c r="D977" s="25" t="s">
        <v>2118</v>
      </c>
      <c r="E977" s="107">
        <f t="shared" si="74"/>
        <v>899</v>
      </c>
      <c r="F977" s="14">
        <f t="shared" si="73"/>
        <v>0</v>
      </c>
      <c r="G977" s="14" t="s">
        <v>230</v>
      </c>
      <c r="H977" s="2">
        <v>0</v>
      </c>
      <c r="J977" s="177" t="s">
        <v>2075</v>
      </c>
      <c r="K977" s="385" t="s">
        <v>2119</v>
      </c>
    </row>
    <row r="978" spans="2:11" x14ac:dyDescent="0.25">
      <c r="B978" s="505"/>
      <c r="C978" s="25" t="s">
        <v>2077</v>
      </c>
      <c r="D978" s="25" t="s">
        <v>2120</v>
      </c>
      <c r="E978" s="107">
        <f t="shared" si="74"/>
        <v>900</v>
      </c>
      <c r="F978" s="14">
        <f t="shared" si="73"/>
        <v>0</v>
      </c>
      <c r="G978" s="14" t="s">
        <v>2079</v>
      </c>
      <c r="H978" s="2">
        <v>0</v>
      </c>
      <c r="K978" s="385" t="s">
        <v>2121</v>
      </c>
    </row>
    <row r="979" spans="2:11" x14ac:dyDescent="0.25">
      <c r="B979" s="505"/>
      <c r="C979" s="25" t="s">
        <v>2081</v>
      </c>
      <c r="D979" s="25" t="s">
        <v>2122</v>
      </c>
      <c r="E979" s="107">
        <f t="shared" si="74"/>
        <v>901</v>
      </c>
      <c r="F979" s="14">
        <f t="shared" si="73"/>
        <v>0</v>
      </c>
      <c r="G979" s="14" t="s">
        <v>864</v>
      </c>
      <c r="H979" s="2">
        <v>0</v>
      </c>
      <c r="J979" s="177" t="s">
        <v>2075</v>
      </c>
    </row>
    <row r="980" spans="2:11" x14ac:dyDescent="0.25">
      <c r="B980" s="505" t="str">
        <f>"E "&amp;(RIGHT(B976,3)+1)</f>
        <v>E 407</v>
      </c>
      <c r="C980" s="69" t="s">
        <v>2123</v>
      </c>
      <c r="D980" s="25" t="s">
        <v>2124</v>
      </c>
      <c r="E980" s="107">
        <f t="shared" si="74"/>
        <v>902</v>
      </c>
      <c r="F980" s="14" t="str">
        <f t="shared" si="73"/>
        <v>Tidak Ada</v>
      </c>
      <c r="G980" s="14" t="s">
        <v>45</v>
      </c>
      <c r="H980" s="2" t="s">
        <v>64</v>
      </c>
    </row>
    <row r="981" spans="2:11" x14ac:dyDescent="0.25">
      <c r="B981" s="505"/>
      <c r="C981" s="25" t="s">
        <v>2125</v>
      </c>
      <c r="D981" s="25" t="s">
        <v>2126</v>
      </c>
      <c r="E981" s="107">
        <f t="shared" si="74"/>
        <v>903</v>
      </c>
      <c r="F981" s="14">
        <f t="shared" si="73"/>
        <v>0</v>
      </c>
      <c r="G981" s="14" t="s">
        <v>230</v>
      </c>
      <c r="H981" s="2">
        <v>0</v>
      </c>
      <c r="J981" s="177" t="s">
        <v>2075</v>
      </c>
      <c r="K981" s="385">
        <v>1</v>
      </c>
    </row>
    <row r="982" spans="2:11" x14ac:dyDescent="0.25">
      <c r="B982" s="505"/>
      <c r="C982" s="25" t="s">
        <v>2077</v>
      </c>
      <c r="D982" s="25" t="s">
        <v>2127</v>
      </c>
      <c r="E982" s="107">
        <f t="shared" si="74"/>
        <v>904</v>
      </c>
      <c r="F982" s="14">
        <f t="shared" si="73"/>
        <v>0</v>
      </c>
      <c r="G982" s="14" t="s">
        <v>2079</v>
      </c>
      <c r="H982" s="2">
        <v>0</v>
      </c>
      <c r="K982" s="385">
        <v>2</v>
      </c>
    </row>
    <row r="983" spans="2:11" x14ac:dyDescent="0.25">
      <c r="B983" s="505"/>
      <c r="C983" s="25" t="s">
        <v>2081</v>
      </c>
      <c r="D983" s="25" t="s">
        <v>2128</v>
      </c>
      <c r="E983" s="107">
        <f t="shared" si="74"/>
        <v>905</v>
      </c>
      <c r="F983" s="14">
        <f t="shared" si="73"/>
        <v>0</v>
      </c>
      <c r="G983" s="14" t="s">
        <v>864</v>
      </c>
      <c r="H983" s="2">
        <v>0</v>
      </c>
      <c r="J983" s="177" t="s">
        <v>2075</v>
      </c>
      <c r="K983" s="385">
        <v>3</v>
      </c>
    </row>
    <row r="984" spans="2:11" x14ac:dyDescent="0.25">
      <c r="B984" s="505" t="str">
        <f>"E "&amp;(RIGHT(B980,3)+1)</f>
        <v>E 408</v>
      </c>
      <c r="C984" s="69" t="s">
        <v>2129</v>
      </c>
      <c r="D984" s="25" t="s">
        <v>2130</v>
      </c>
      <c r="E984" s="107">
        <f t="shared" si="74"/>
        <v>906</v>
      </c>
      <c r="F984" s="14" t="str">
        <f t="shared" si="73"/>
        <v>Tidak Ada</v>
      </c>
      <c r="G984" s="14" t="s">
        <v>45</v>
      </c>
      <c r="H984" s="2" t="s">
        <v>64</v>
      </c>
      <c r="K984" s="385">
        <v>4</v>
      </c>
    </row>
    <row r="985" spans="2:11" x14ac:dyDescent="0.25">
      <c r="B985" s="505"/>
      <c r="C985" s="25" t="s">
        <v>2131</v>
      </c>
      <c r="D985" s="25" t="s">
        <v>2132</v>
      </c>
      <c r="E985" s="107">
        <f t="shared" si="74"/>
        <v>907</v>
      </c>
      <c r="F985" s="14">
        <f t="shared" si="73"/>
        <v>0</v>
      </c>
      <c r="G985" s="14" t="s">
        <v>230</v>
      </c>
      <c r="H985" s="2">
        <v>0</v>
      </c>
      <c r="J985" s="177" t="s">
        <v>2075</v>
      </c>
      <c r="K985" s="385">
        <v>5</v>
      </c>
    </row>
    <row r="986" spans="2:11" x14ac:dyDescent="0.25">
      <c r="B986" s="505"/>
      <c r="C986" s="25" t="s">
        <v>2077</v>
      </c>
      <c r="D986" s="25" t="s">
        <v>2133</v>
      </c>
      <c r="E986" s="107">
        <f t="shared" si="74"/>
        <v>908</v>
      </c>
      <c r="F986" s="14">
        <f t="shared" si="73"/>
        <v>0</v>
      </c>
      <c r="G986" s="14" t="s">
        <v>2079</v>
      </c>
      <c r="H986" s="2">
        <v>0</v>
      </c>
      <c r="K986" s="385">
        <v>6</v>
      </c>
    </row>
    <row r="987" spans="2:11" x14ac:dyDescent="0.25">
      <c r="B987" s="505"/>
      <c r="C987" s="25" t="s">
        <v>2081</v>
      </c>
      <c r="D987" s="25" t="s">
        <v>2134</v>
      </c>
      <c r="E987" s="107">
        <f t="shared" si="74"/>
        <v>909</v>
      </c>
      <c r="F987" s="14">
        <f t="shared" si="73"/>
        <v>0</v>
      </c>
      <c r="G987" s="14" t="s">
        <v>864</v>
      </c>
      <c r="H987" s="2">
        <v>0</v>
      </c>
      <c r="J987" s="177" t="s">
        <v>2075</v>
      </c>
      <c r="K987" s="385">
        <v>7</v>
      </c>
    </row>
    <row r="988" spans="2:11" x14ac:dyDescent="0.25">
      <c r="B988" s="505" t="str">
        <f>"E "&amp;(RIGHT(B984,3)+1)</f>
        <v>E 409</v>
      </c>
      <c r="C988" s="69" t="s">
        <v>2135</v>
      </c>
      <c r="D988" s="25" t="s">
        <v>2136</v>
      </c>
      <c r="E988" s="107">
        <f t="shared" si="74"/>
        <v>910</v>
      </c>
      <c r="F988" s="14" t="str">
        <f t="shared" si="73"/>
        <v>Tidak Ada</v>
      </c>
      <c r="G988" s="14" t="s">
        <v>45</v>
      </c>
      <c r="H988" s="2" t="s">
        <v>64</v>
      </c>
      <c r="K988" s="385">
        <v>8</v>
      </c>
    </row>
    <row r="989" spans="2:11" x14ac:dyDescent="0.25">
      <c r="B989" s="505"/>
      <c r="C989" s="25" t="s">
        <v>2137</v>
      </c>
      <c r="D989" s="25" t="s">
        <v>2138</v>
      </c>
      <c r="E989" s="107">
        <f t="shared" si="74"/>
        <v>911</v>
      </c>
      <c r="F989" s="14">
        <f t="shared" si="73"/>
        <v>0</v>
      </c>
      <c r="G989" s="14" t="s">
        <v>230</v>
      </c>
      <c r="H989" s="2">
        <v>0</v>
      </c>
      <c r="J989" s="177" t="s">
        <v>2075</v>
      </c>
      <c r="K989" s="385">
        <v>9</v>
      </c>
    </row>
    <row r="990" spans="2:11" x14ac:dyDescent="0.25">
      <c r="B990" s="505"/>
      <c r="C990" s="25" t="s">
        <v>2077</v>
      </c>
      <c r="D990" s="25" t="s">
        <v>2139</v>
      </c>
      <c r="E990" s="107">
        <f t="shared" si="74"/>
        <v>912</v>
      </c>
      <c r="F990" s="14">
        <f t="shared" si="73"/>
        <v>0</v>
      </c>
      <c r="G990" s="14" t="s">
        <v>2079</v>
      </c>
      <c r="H990" s="2">
        <v>0</v>
      </c>
      <c r="K990" s="385">
        <v>10</v>
      </c>
    </row>
    <row r="991" spans="2:11" x14ac:dyDescent="0.25">
      <c r="B991" s="505"/>
      <c r="C991" s="25" t="s">
        <v>2081</v>
      </c>
      <c r="D991" s="25" t="s">
        <v>2140</v>
      </c>
      <c r="E991" s="107">
        <f t="shared" si="74"/>
        <v>913</v>
      </c>
      <c r="F991" s="14">
        <f t="shared" si="73"/>
        <v>0</v>
      </c>
      <c r="G991" s="14" t="s">
        <v>864</v>
      </c>
      <c r="H991" s="2">
        <v>0</v>
      </c>
      <c r="J991" s="177" t="s">
        <v>2075</v>
      </c>
      <c r="K991" s="385">
        <v>11</v>
      </c>
    </row>
    <row r="992" spans="2:11" x14ac:dyDescent="0.25">
      <c r="B992" s="505" t="str">
        <f>"E "&amp;(RIGHT(B988,3)+1)</f>
        <v>E 410</v>
      </c>
      <c r="C992" s="69" t="s">
        <v>2141</v>
      </c>
      <c r="D992" s="25" t="s">
        <v>2142</v>
      </c>
      <c r="E992" s="107">
        <f t="shared" si="74"/>
        <v>914</v>
      </c>
      <c r="F992" s="14" t="str">
        <f t="shared" ref="F992:F1023" si="75">H992</f>
        <v>Tidak Ada</v>
      </c>
      <c r="G992" s="14" t="s">
        <v>45</v>
      </c>
      <c r="H992" s="2" t="s">
        <v>64</v>
      </c>
      <c r="K992" s="385">
        <v>12</v>
      </c>
    </row>
    <row r="993" spans="2:11" x14ac:dyDescent="0.25">
      <c r="B993" s="505"/>
      <c r="C993" s="25" t="s">
        <v>2143</v>
      </c>
      <c r="D993" s="25" t="s">
        <v>2144</v>
      </c>
      <c r="E993" s="107">
        <f t="shared" ref="E993:E1024" si="76">E992+1</f>
        <v>915</v>
      </c>
      <c r="F993" s="14">
        <f t="shared" si="75"/>
        <v>0</v>
      </c>
      <c r="G993" s="14" t="s">
        <v>230</v>
      </c>
      <c r="H993" s="2">
        <v>0</v>
      </c>
      <c r="J993" s="177" t="s">
        <v>2075</v>
      </c>
      <c r="K993" s="385">
        <v>13</v>
      </c>
    </row>
    <row r="994" spans="2:11" x14ac:dyDescent="0.25">
      <c r="B994" s="505"/>
      <c r="C994" s="25" t="s">
        <v>2077</v>
      </c>
      <c r="D994" s="25" t="s">
        <v>2145</v>
      </c>
      <c r="E994" s="107">
        <f t="shared" si="76"/>
        <v>916</v>
      </c>
      <c r="F994" s="14">
        <f t="shared" si="75"/>
        <v>0</v>
      </c>
      <c r="G994" s="14" t="s">
        <v>2079</v>
      </c>
      <c r="H994" s="2">
        <v>0</v>
      </c>
      <c r="K994" s="385">
        <v>14</v>
      </c>
    </row>
    <row r="995" spans="2:11" x14ac:dyDescent="0.25">
      <c r="B995" s="505"/>
      <c r="C995" s="25" t="s">
        <v>2081</v>
      </c>
      <c r="D995" s="25" t="s">
        <v>2146</v>
      </c>
      <c r="E995" s="107">
        <f t="shared" si="76"/>
        <v>917</v>
      </c>
      <c r="F995" s="14">
        <f t="shared" si="75"/>
        <v>0</v>
      </c>
      <c r="G995" s="14" t="s">
        <v>864</v>
      </c>
      <c r="H995" s="2">
        <v>0</v>
      </c>
      <c r="J995" s="177" t="s">
        <v>2075</v>
      </c>
      <c r="K995" s="385">
        <v>15</v>
      </c>
    </row>
    <row r="996" spans="2:11" x14ac:dyDescent="0.25">
      <c r="B996" s="505" t="str">
        <f>"E "&amp;(RIGHT(B992,3)+1)</f>
        <v>E 411</v>
      </c>
      <c r="C996" s="69" t="s">
        <v>2147</v>
      </c>
      <c r="D996" s="25" t="s">
        <v>2148</v>
      </c>
      <c r="E996" s="107">
        <f t="shared" si="76"/>
        <v>918</v>
      </c>
      <c r="F996" s="14" t="str">
        <f t="shared" si="75"/>
        <v>Tidak Ada</v>
      </c>
      <c r="G996" s="14" t="s">
        <v>45</v>
      </c>
      <c r="H996" s="2" t="s">
        <v>64</v>
      </c>
      <c r="K996" s="385">
        <v>16</v>
      </c>
    </row>
    <row r="997" spans="2:11" x14ac:dyDescent="0.25">
      <c r="B997" s="505"/>
      <c r="C997" s="25" t="s">
        <v>2149</v>
      </c>
      <c r="D997" s="25" t="s">
        <v>2150</v>
      </c>
      <c r="E997" s="107">
        <f t="shared" si="76"/>
        <v>919</v>
      </c>
      <c r="F997" s="14">
        <f t="shared" si="75"/>
        <v>0</v>
      </c>
      <c r="G997" s="14" t="s">
        <v>230</v>
      </c>
      <c r="H997" s="2">
        <v>0</v>
      </c>
      <c r="J997" s="177" t="s">
        <v>2075</v>
      </c>
      <c r="K997" s="385" t="s">
        <v>2151</v>
      </c>
    </row>
    <row r="998" spans="2:11" x14ac:dyDescent="0.25">
      <c r="B998" s="505"/>
      <c r="C998" s="25" t="s">
        <v>2077</v>
      </c>
      <c r="D998" s="25" t="s">
        <v>2152</v>
      </c>
      <c r="E998" s="107">
        <f t="shared" si="76"/>
        <v>920</v>
      </c>
      <c r="F998" s="14">
        <f t="shared" si="75"/>
        <v>0</v>
      </c>
      <c r="G998" s="14" t="s">
        <v>2079</v>
      </c>
      <c r="H998" s="2">
        <v>0</v>
      </c>
    </row>
    <row r="999" spans="2:11" x14ac:dyDescent="0.25">
      <c r="B999" s="505"/>
      <c r="C999" s="25" t="s">
        <v>2081</v>
      </c>
      <c r="D999" s="25" t="s">
        <v>2153</v>
      </c>
      <c r="E999" s="107">
        <f t="shared" si="76"/>
        <v>921</v>
      </c>
      <c r="F999" s="14">
        <f t="shared" si="75"/>
        <v>0</v>
      </c>
      <c r="G999" s="14" t="s">
        <v>864</v>
      </c>
      <c r="H999" s="2">
        <v>0</v>
      </c>
      <c r="J999" s="177" t="s">
        <v>2075</v>
      </c>
    </row>
    <row r="1000" spans="2:11" x14ac:dyDescent="0.25">
      <c r="B1000" s="505" t="str">
        <f>"E "&amp;(RIGHT(B996,3)+1)</f>
        <v>E 412</v>
      </c>
      <c r="C1000" s="69" t="s">
        <v>2154</v>
      </c>
      <c r="D1000" s="25" t="s">
        <v>2155</v>
      </c>
      <c r="E1000" s="107">
        <f t="shared" si="76"/>
        <v>922</v>
      </c>
      <c r="F1000" s="14" t="str">
        <f t="shared" si="75"/>
        <v>Tidak Ada</v>
      </c>
      <c r="G1000" s="14" t="s">
        <v>45</v>
      </c>
      <c r="H1000" s="2" t="s">
        <v>64</v>
      </c>
    </row>
    <row r="1001" spans="2:11" x14ac:dyDescent="0.25">
      <c r="B1001" s="505"/>
      <c r="C1001" s="25" t="s">
        <v>2156</v>
      </c>
      <c r="D1001" s="25" t="s">
        <v>2157</v>
      </c>
      <c r="E1001" s="107">
        <f t="shared" si="76"/>
        <v>923</v>
      </c>
      <c r="F1001" s="14">
        <f t="shared" si="75"/>
        <v>0</v>
      </c>
      <c r="G1001" s="14" t="s">
        <v>230</v>
      </c>
      <c r="H1001" s="2">
        <v>0</v>
      </c>
      <c r="J1001" s="177" t="s">
        <v>2075</v>
      </c>
    </row>
    <row r="1002" spans="2:11" x14ac:dyDescent="0.25">
      <c r="B1002" s="505"/>
      <c r="C1002" s="25" t="s">
        <v>2077</v>
      </c>
      <c r="D1002" s="25" t="s">
        <v>2158</v>
      </c>
      <c r="E1002" s="107">
        <f t="shared" si="76"/>
        <v>924</v>
      </c>
      <c r="F1002" s="14">
        <f t="shared" si="75"/>
        <v>0</v>
      </c>
      <c r="G1002" s="14" t="s">
        <v>2079</v>
      </c>
      <c r="H1002" s="2">
        <v>0</v>
      </c>
    </row>
    <row r="1003" spans="2:11" x14ac:dyDescent="0.25">
      <c r="B1003" s="505"/>
      <c r="C1003" s="25" t="s">
        <v>2081</v>
      </c>
      <c r="D1003" s="25" t="s">
        <v>2159</v>
      </c>
      <c r="E1003" s="107">
        <f t="shared" si="76"/>
        <v>925</v>
      </c>
      <c r="F1003" s="14">
        <f t="shared" si="75"/>
        <v>0</v>
      </c>
      <c r="G1003" s="14" t="s">
        <v>864</v>
      </c>
      <c r="H1003" s="2">
        <v>0</v>
      </c>
      <c r="J1003" s="177" t="s">
        <v>2075</v>
      </c>
    </row>
    <row r="1004" spans="2:11" x14ac:dyDescent="0.25">
      <c r="B1004" s="505" t="str">
        <f>"E "&amp;(RIGHT(B1000,3)+1)</f>
        <v>E 413</v>
      </c>
      <c r="C1004" s="69" t="s">
        <v>2160</v>
      </c>
      <c r="D1004" s="25" t="s">
        <v>2161</v>
      </c>
      <c r="E1004" s="107">
        <f t="shared" si="76"/>
        <v>926</v>
      </c>
      <c r="F1004" s="14" t="str">
        <f t="shared" si="75"/>
        <v>Tidak Ada</v>
      </c>
      <c r="G1004" s="14" t="s">
        <v>45</v>
      </c>
      <c r="H1004" s="2" t="s">
        <v>64</v>
      </c>
    </row>
    <row r="1005" spans="2:11" x14ac:dyDescent="0.25">
      <c r="B1005" s="505"/>
      <c r="C1005" s="25" t="s">
        <v>2162</v>
      </c>
      <c r="D1005" s="25" t="s">
        <v>2163</v>
      </c>
      <c r="E1005" s="107">
        <f t="shared" si="76"/>
        <v>927</v>
      </c>
      <c r="F1005" s="14">
        <f t="shared" si="75"/>
        <v>0</v>
      </c>
      <c r="G1005" s="14" t="s">
        <v>230</v>
      </c>
      <c r="H1005" s="2">
        <v>0</v>
      </c>
      <c r="J1005" s="177" t="s">
        <v>2075</v>
      </c>
    </row>
    <row r="1006" spans="2:11" x14ac:dyDescent="0.25">
      <c r="B1006" s="505"/>
      <c r="C1006" s="25" t="s">
        <v>2077</v>
      </c>
      <c r="D1006" s="25" t="s">
        <v>2164</v>
      </c>
      <c r="E1006" s="107">
        <f t="shared" si="76"/>
        <v>928</v>
      </c>
      <c r="F1006" s="14">
        <f t="shared" si="75"/>
        <v>0</v>
      </c>
      <c r="G1006" s="14" t="s">
        <v>2079</v>
      </c>
      <c r="H1006" s="2">
        <v>0</v>
      </c>
    </row>
    <row r="1007" spans="2:11" x14ac:dyDescent="0.25">
      <c r="B1007" s="505"/>
      <c r="C1007" s="25" t="s">
        <v>2081</v>
      </c>
      <c r="D1007" s="25" t="s">
        <v>2165</v>
      </c>
      <c r="E1007" s="107">
        <f t="shared" si="76"/>
        <v>929</v>
      </c>
      <c r="F1007" s="14">
        <f t="shared" si="75"/>
        <v>0</v>
      </c>
      <c r="G1007" s="14" t="s">
        <v>864</v>
      </c>
      <c r="H1007" s="2">
        <v>0</v>
      </c>
      <c r="J1007" s="177" t="s">
        <v>2075</v>
      </c>
    </row>
    <row r="1008" spans="2:11" x14ac:dyDescent="0.25">
      <c r="B1008" s="505" t="str">
        <f>"E "&amp;(RIGHT(B1004,3)+1)</f>
        <v>E 414</v>
      </c>
      <c r="C1008" s="69" t="s">
        <v>2166</v>
      </c>
      <c r="D1008" s="25" t="s">
        <v>2167</v>
      </c>
      <c r="E1008" s="107">
        <f t="shared" si="76"/>
        <v>930</v>
      </c>
      <c r="F1008" s="14" t="str">
        <f t="shared" si="75"/>
        <v>Tidak Ada</v>
      </c>
      <c r="G1008" s="14" t="s">
        <v>45</v>
      </c>
      <c r="H1008" s="2" t="s">
        <v>64</v>
      </c>
    </row>
    <row r="1009" spans="2:10" x14ac:dyDescent="0.25">
      <c r="B1009" s="505"/>
      <c r="C1009" s="25" t="s">
        <v>2168</v>
      </c>
      <c r="D1009" s="25" t="s">
        <v>2169</v>
      </c>
      <c r="E1009" s="107">
        <f t="shared" si="76"/>
        <v>931</v>
      </c>
      <c r="F1009" s="14">
        <f t="shared" si="75"/>
        <v>0</v>
      </c>
      <c r="G1009" s="14" t="s">
        <v>230</v>
      </c>
      <c r="H1009" s="2">
        <v>0</v>
      </c>
      <c r="J1009" s="177" t="s">
        <v>2075</v>
      </c>
    </row>
    <row r="1010" spans="2:10" x14ac:dyDescent="0.25">
      <c r="B1010" s="505"/>
      <c r="C1010" s="25" t="s">
        <v>2077</v>
      </c>
      <c r="D1010" s="25" t="s">
        <v>2170</v>
      </c>
      <c r="E1010" s="107">
        <f t="shared" si="76"/>
        <v>932</v>
      </c>
      <c r="F1010" s="14">
        <f t="shared" si="75"/>
        <v>0</v>
      </c>
      <c r="G1010" s="14" t="s">
        <v>2079</v>
      </c>
      <c r="H1010" s="2">
        <v>0</v>
      </c>
    </row>
    <row r="1011" spans="2:10" x14ac:dyDescent="0.25">
      <c r="B1011" s="505"/>
      <c r="C1011" s="25" t="s">
        <v>2081</v>
      </c>
      <c r="D1011" s="25" t="s">
        <v>2171</v>
      </c>
      <c r="E1011" s="107">
        <f t="shared" si="76"/>
        <v>933</v>
      </c>
      <c r="F1011" s="14">
        <f t="shared" si="75"/>
        <v>0</v>
      </c>
      <c r="G1011" s="14" t="s">
        <v>864</v>
      </c>
      <c r="H1011" s="2">
        <v>0</v>
      </c>
      <c r="J1011" s="177" t="s">
        <v>2075</v>
      </c>
    </row>
    <row r="1012" spans="2:10" x14ac:dyDescent="0.25">
      <c r="B1012" s="505" t="str">
        <f>"E "&amp;(RIGHT(B1008,3)+1)</f>
        <v>E 415</v>
      </c>
      <c r="C1012" s="69" t="s">
        <v>2172</v>
      </c>
      <c r="D1012" s="25" t="s">
        <v>2173</v>
      </c>
      <c r="E1012" s="107">
        <f t="shared" si="76"/>
        <v>934</v>
      </c>
      <c r="F1012" s="14" t="str">
        <f t="shared" si="75"/>
        <v>Tidak Ada</v>
      </c>
      <c r="G1012" s="14" t="s">
        <v>45</v>
      </c>
      <c r="H1012" s="2" t="s">
        <v>64</v>
      </c>
    </row>
    <row r="1013" spans="2:10" x14ac:dyDescent="0.25">
      <c r="B1013" s="505"/>
      <c r="C1013" s="25" t="s">
        <v>2174</v>
      </c>
      <c r="D1013" s="25" t="s">
        <v>2175</v>
      </c>
      <c r="E1013" s="107">
        <f t="shared" si="76"/>
        <v>935</v>
      </c>
      <c r="F1013" s="14">
        <f t="shared" si="75"/>
        <v>0</v>
      </c>
      <c r="G1013" s="14" t="s">
        <v>230</v>
      </c>
      <c r="H1013" s="2">
        <v>0</v>
      </c>
      <c r="J1013" s="177" t="s">
        <v>2075</v>
      </c>
    </row>
    <row r="1014" spans="2:10" x14ac:dyDescent="0.25">
      <c r="B1014" s="505"/>
      <c r="C1014" s="25" t="s">
        <v>2077</v>
      </c>
      <c r="D1014" s="25" t="s">
        <v>2176</v>
      </c>
      <c r="E1014" s="107">
        <f t="shared" si="76"/>
        <v>936</v>
      </c>
      <c r="F1014" s="14">
        <f t="shared" si="75"/>
        <v>0</v>
      </c>
      <c r="G1014" s="14" t="s">
        <v>2079</v>
      </c>
      <c r="H1014" s="2">
        <v>0</v>
      </c>
    </row>
    <row r="1015" spans="2:10" x14ac:dyDescent="0.25">
      <c r="B1015" s="505"/>
      <c r="C1015" s="25" t="s">
        <v>2081</v>
      </c>
      <c r="D1015" s="25" t="s">
        <v>2177</v>
      </c>
      <c r="E1015" s="107">
        <f t="shared" si="76"/>
        <v>937</v>
      </c>
      <c r="F1015" s="14">
        <f t="shared" si="75"/>
        <v>0</v>
      </c>
      <c r="G1015" s="14" t="s">
        <v>864</v>
      </c>
      <c r="H1015" s="2">
        <v>0</v>
      </c>
      <c r="J1015" s="177" t="s">
        <v>2075</v>
      </c>
    </row>
    <row r="1016" spans="2:10" x14ac:dyDescent="0.25">
      <c r="B1016" s="505" t="str">
        <f>"E "&amp;(RIGHT(B1012,3)+1)</f>
        <v>E 416</v>
      </c>
      <c r="C1016" s="69" t="s">
        <v>2178</v>
      </c>
      <c r="D1016" s="25" t="s">
        <v>2179</v>
      </c>
      <c r="E1016" s="107">
        <f t="shared" si="76"/>
        <v>938</v>
      </c>
      <c r="F1016" s="14" t="str">
        <f t="shared" si="75"/>
        <v>Tidak Ada</v>
      </c>
      <c r="G1016" s="14" t="s">
        <v>45</v>
      </c>
      <c r="H1016" s="2" t="s">
        <v>64</v>
      </c>
    </row>
    <row r="1017" spans="2:10" x14ac:dyDescent="0.25">
      <c r="B1017" s="505"/>
      <c r="C1017" s="25" t="s">
        <v>2180</v>
      </c>
      <c r="D1017" s="25" t="s">
        <v>2181</v>
      </c>
      <c r="E1017" s="107">
        <f t="shared" si="76"/>
        <v>939</v>
      </c>
      <c r="F1017" s="14">
        <f t="shared" si="75"/>
        <v>0</v>
      </c>
      <c r="G1017" s="14" t="s">
        <v>230</v>
      </c>
      <c r="H1017" s="2">
        <v>0</v>
      </c>
      <c r="J1017" s="177" t="s">
        <v>2075</v>
      </c>
    </row>
    <row r="1018" spans="2:10" x14ac:dyDescent="0.25">
      <c r="B1018" s="505"/>
      <c r="C1018" s="25" t="s">
        <v>2077</v>
      </c>
      <c r="D1018" s="25" t="s">
        <v>2182</v>
      </c>
      <c r="E1018" s="107">
        <f t="shared" si="76"/>
        <v>940</v>
      </c>
      <c r="F1018" s="14">
        <f t="shared" si="75"/>
        <v>0</v>
      </c>
      <c r="G1018" s="14" t="s">
        <v>2079</v>
      </c>
      <c r="H1018" s="2">
        <v>0</v>
      </c>
    </row>
    <row r="1019" spans="2:10" x14ac:dyDescent="0.25">
      <c r="B1019" s="505"/>
      <c r="C1019" s="25" t="s">
        <v>2081</v>
      </c>
      <c r="D1019" s="25" t="s">
        <v>2183</v>
      </c>
      <c r="E1019" s="107">
        <f t="shared" si="76"/>
        <v>941</v>
      </c>
      <c r="F1019" s="14">
        <f t="shared" si="75"/>
        <v>0</v>
      </c>
      <c r="G1019" s="14" t="s">
        <v>864</v>
      </c>
      <c r="H1019" s="2">
        <v>0</v>
      </c>
      <c r="J1019" s="177" t="s">
        <v>2075</v>
      </c>
    </row>
    <row r="1020" spans="2:10" x14ac:dyDescent="0.25">
      <c r="B1020" s="505" t="str">
        <f>"E "&amp;(RIGHT(B1016,3)+1)</f>
        <v>E 417</v>
      </c>
      <c r="C1020" s="69" t="s">
        <v>2184</v>
      </c>
      <c r="D1020" s="25" t="s">
        <v>2185</v>
      </c>
      <c r="E1020" s="107">
        <f t="shared" si="76"/>
        <v>942</v>
      </c>
      <c r="F1020" s="14" t="str">
        <f t="shared" si="75"/>
        <v>Tidak Ada</v>
      </c>
      <c r="G1020" s="14" t="s">
        <v>45</v>
      </c>
      <c r="H1020" s="2" t="s">
        <v>64</v>
      </c>
    </row>
    <row r="1021" spans="2:10" x14ac:dyDescent="0.25">
      <c r="B1021" s="505"/>
      <c r="C1021" s="25" t="s">
        <v>2186</v>
      </c>
      <c r="D1021" s="25" t="s">
        <v>2187</v>
      </c>
      <c r="E1021" s="107">
        <f t="shared" si="76"/>
        <v>943</v>
      </c>
      <c r="F1021" s="14">
        <f t="shared" si="75"/>
        <v>0</v>
      </c>
      <c r="G1021" s="14" t="s">
        <v>230</v>
      </c>
      <c r="H1021" s="2">
        <v>0</v>
      </c>
      <c r="J1021" s="177" t="s">
        <v>2075</v>
      </c>
    </row>
    <row r="1022" spans="2:10" x14ac:dyDescent="0.25">
      <c r="B1022" s="505"/>
      <c r="C1022" s="25" t="s">
        <v>2077</v>
      </c>
      <c r="D1022" s="25" t="s">
        <v>2188</v>
      </c>
      <c r="E1022" s="107">
        <f t="shared" si="76"/>
        <v>944</v>
      </c>
      <c r="F1022" s="14">
        <f t="shared" si="75"/>
        <v>0</v>
      </c>
      <c r="G1022" s="14" t="s">
        <v>2079</v>
      </c>
      <c r="H1022" s="2">
        <v>0</v>
      </c>
    </row>
    <row r="1023" spans="2:10" x14ac:dyDescent="0.25">
      <c r="B1023" s="505"/>
      <c r="C1023" s="25" t="s">
        <v>2081</v>
      </c>
      <c r="D1023" s="25" t="s">
        <v>2189</v>
      </c>
      <c r="E1023" s="107">
        <f t="shared" si="76"/>
        <v>945</v>
      </c>
      <c r="F1023" s="14">
        <f t="shared" si="75"/>
        <v>0</v>
      </c>
      <c r="G1023" s="14" t="s">
        <v>864</v>
      </c>
      <c r="H1023" s="2">
        <v>0</v>
      </c>
      <c r="J1023" s="177" t="s">
        <v>2075</v>
      </c>
    </row>
    <row r="1024" spans="2:10" x14ac:dyDescent="0.25">
      <c r="B1024" s="505" t="str">
        <f>"E "&amp;(RIGHT(B1020,3)+1)</f>
        <v>E 418</v>
      </c>
      <c r="C1024" s="69" t="s">
        <v>2190</v>
      </c>
      <c r="D1024" s="25" t="s">
        <v>2191</v>
      </c>
      <c r="E1024" s="107">
        <f t="shared" si="76"/>
        <v>946</v>
      </c>
      <c r="F1024" s="14" t="str">
        <f t="shared" ref="F1024:F1035" si="77">H1024</f>
        <v>Tidak Ada</v>
      </c>
      <c r="G1024" s="14" t="s">
        <v>45</v>
      </c>
      <c r="H1024" s="2" t="s">
        <v>64</v>
      </c>
    </row>
    <row r="1025" spans="2:11" x14ac:dyDescent="0.25">
      <c r="B1025" s="505"/>
      <c r="C1025" s="25" t="s">
        <v>2192</v>
      </c>
      <c r="D1025" s="25" t="s">
        <v>2193</v>
      </c>
      <c r="E1025" s="107">
        <f t="shared" ref="E1025:E1035" si="78">E1024+1</f>
        <v>947</v>
      </c>
      <c r="F1025" s="14">
        <f t="shared" si="77"/>
        <v>0</v>
      </c>
      <c r="G1025" s="14" t="s">
        <v>230</v>
      </c>
      <c r="H1025" s="2">
        <v>0</v>
      </c>
      <c r="J1025" s="177" t="s">
        <v>2075</v>
      </c>
    </row>
    <row r="1026" spans="2:11" x14ac:dyDescent="0.25">
      <c r="B1026" s="505"/>
      <c r="C1026" s="25" t="s">
        <v>2077</v>
      </c>
      <c r="D1026" s="25" t="s">
        <v>2194</v>
      </c>
      <c r="E1026" s="107">
        <f t="shared" si="78"/>
        <v>948</v>
      </c>
      <c r="F1026" s="14">
        <f t="shared" si="77"/>
        <v>0</v>
      </c>
      <c r="G1026" s="14" t="s">
        <v>2079</v>
      </c>
      <c r="H1026" s="2">
        <v>0</v>
      </c>
    </row>
    <row r="1027" spans="2:11" x14ac:dyDescent="0.25">
      <c r="B1027" s="505"/>
      <c r="C1027" s="25" t="s">
        <v>2081</v>
      </c>
      <c r="D1027" s="25" t="s">
        <v>2195</v>
      </c>
      <c r="E1027" s="107">
        <f t="shared" si="78"/>
        <v>949</v>
      </c>
      <c r="F1027" s="14">
        <f t="shared" si="77"/>
        <v>0</v>
      </c>
      <c r="G1027" s="14" t="s">
        <v>864</v>
      </c>
      <c r="H1027" s="2">
        <v>0</v>
      </c>
      <c r="J1027" s="177" t="s">
        <v>2075</v>
      </c>
    </row>
    <row r="1028" spans="2:11" x14ac:dyDescent="0.25">
      <c r="B1028" s="505" t="str">
        <f>"E "&amp;(RIGHT(B1024,3)+1)</f>
        <v>E 419</v>
      </c>
      <c r="C1028" s="69" t="s">
        <v>2196</v>
      </c>
      <c r="D1028" s="25" t="s">
        <v>2197</v>
      </c>
      <c r="E1028" s="107">
        <f t="shared" si="78"/>
        <v>950</v>
      </c>
      <c r="F1028" s="14" t="str">
        <f t="shared" si="77"/>
        <v>Tidak Ada</v>
      </c>
      <c r="G1028" s="14" t="s">
        <v>45</v>
      </c>
      <c r="H1028" s="2" t="s">
        <v>64</v>
      </c>
    </row>
    <row r="1029" spans="2:11" x14ac:dyDescent="0.25">
      <c r="B1029" s="505"/>
      <c r="C1029" s="25" t="s">
        <v>2198</v>
      </c>
      <c r="D1029" s="25" t="s">
        <v>2199</v>
      </c>
      <c r="E1029" s="107">
        <f t="shared" si="78"/>
        <v>951</v>
      </c>
      <c r="F1029" s="14">
        <f t="shared" si="77"/>
        <v>0</v>
      </c>
      <c r="G1029" s="14" t="s">
        <v>230</v>
      </c>
      <c r="H1029" s="2">
        <v>0</v>
      </c>
      <c r="J1029" s="177" t="s">
        <v>2075</v>
      </c>
    </row>
    <row r="1030" spans="2:11" x14ac:dyDescent="0.25">
      <c r="B1030" s="505"/>
      <c r="C1030" s="25" t="s">
        <v>2077</v>
      </c>
      <c r="D1030" s="25" t="s">
        <v>2200</v>
      </c>
      <c r="E1030" s="107">
        <f t="shared" si="78"/>
        <v>952</v>
      </c>
      <c r="F1030" s="14">
        <f t="shared" si="77"/>
        <v>0</v>
      </c>
      <c r="G1030" s="14" t="s">
        <v>2079</v>
      </c>
      <c r="H1030" s="2">
        <v>0</v>
      </c>
    </row>
    <row r="1031" spans="2:11" x14ac:dyDescent="0.25">
      <c r="B1031" s="505"/>
      <c r="C1031" s="25" t="s">
        <v>2081</v>
      </c>
      <c r="D1031" s="25" t="s">
        <v>2201</v>
      </c>
      <c r="E1031" s="107">
        <f t="shared" si="78"/>
        <v>953</v>
      </c>
      <c r="F1031" s="14">
        <f t="shared" si="77"/>
        <v>0</v>
      </c>
      <c r="G1031" s="14" t="s">
        <v>864</v>
      </c>
      <c r="H1031" s="2">
        <v>0</v>
      </c>
      <c r="J1031" s="177" t="s">
        <v>2075</v>
      </c>
    </row>
    <row r="1032" spans="2:11" x14ac:dyDescent="0.25">
      <c r="B1032" s="505" t="str">
        <f>"E "&amp;(RIGHT(B1028,3)+1)</f>
        <v>E 420</v>
      </c>
      <c r="C1032" s="69" t="s">
        <v>2202</v>
      </c>
      <c r="D1032" s="25" t="s">
        <v>2203</v>
      </c>
      <c r="E1032" s="107">
        <f t="shared" si="78"/>
        <v>954</v>
      </c>
      <c r="F1032" s="14" t="str">
        <f t="shared" si="77"/>
        <v>Tidak Ada</v>
      </c>
      <c r="G1032" s="14" t="s">
        <v>33</v>
      </c>
      <c r="H1032" s="2" t="s">
        <v>64</v>
      </c>
    </row>
    <row r="1033" spans="2:11" x14ac:dyDescent="0.25">
      <c r="B1033" s="505"/>
      <c r="C1033" s="25" t="s">
        <v>2204</v>
      </c>
      <c r="D1033" s="25" t="s">
        <v>2205</v>
      </c>
      <c r="E1033" s="107">
        <f t="shared" si="78"/>
        <v>955</v>
      </c>
      <c r="F1033" s="14">
        <f t="shared" si="77"/>
        <v>0</v>
      </c>
      <c r="G1033" s="14" t="s">
        <v>230</v>
      </c>
      <c r="H1033" s="2">
        <v>0</v>
      </c>
      <c r="J1033" s="177" t="s">
        <v>2075</v>
      </c>
    </row>
    <row r="1034" spans="2:11" x14ac:dyDescent="0.25">
      <c r="B1034" s="505"/>
      <c r="C1034" s="25" t="s">
        <v>2077</v>
      </c>
      <c r="D1034" s="25" t="s">
        <v>2206</v>
      </c>
      <c r="E1034" s="107">
        <f t="shared" si="78"/>
        <v>956</v>
      </c>
      <c r="F1034" s="14">
        <f t="shared" si="77"/>
        <v>0</v>
      </c>
      <c r="G1034" s="14" t="s">
        <v>2079</v>
      </c>
      <c r="H1034" s="2">
        <v>0</v>
      </c>
    </row>
    <row r="1035" spans="2:11" x14ac:dyDescent="0.25">
      <c r="B1035" s="505"/>
      <c r="C1035" s="25" t="s">
        <v>2081</v>
      </c>
      <c r="D1035" s="25" t="s">
        <v>2207</v>
      </c>
      <c r="E1035" s="107">
        <f t="shared" si="78"/>
        <v>957</v>
      </c>
      <c r="F1035" s="14">
        <f t="shared" si="77"/>
        <v>0</v>
      </c>
      <c r="G1035" s="14" t="s">
        <v>864</v>
      </c>
      <c r="H1035" s="4">
        <v>0</v>
      </c>
      <c r="J1035" s="177" t="s">
        <v>2075</v>
      </c>
    </row>
    <row r="1036" spans="2:11" x14ac:dyDescent="0.25">
      <c r="B1036" s="260"/>
      <c r="C1036" s="97" t="s">
        <v>2208</v>
      </c>
      <c r="D1036" s="25"/>
      <c r="E1036" s="133"/>
      <c r="F1036" s="14"/>
      <c r="G1036" s="14"/>
    </row>
    <row r="1037" spans="2:11" x14ac:dyDescent="0.25">
      <c r="B1037" s="258"/>
      <c r="C1037" s="69" t="s">
        <v>2209</v>
      </c>
      <c r="D1037" s="25"/>
      <c r="E1037" s="133"/>
      <c r="F1037" s="14"/>
      <c r="G1037" s="14"/>
    </row>
    <row r="1038" spans="2:11" x14ac:dyDescent="0.25">
      <c r="B1038" s="505" t="str">
        <f>"E "&amp;(RIGHT(B1032,3)+1)</f>
        <v>E 421</v>
      </c>
      <c r="C1038" s="69" t="s">
        <v>2210</v>
      </c>
      <c r="D1038" s="25" t="s">
        <v>2211</v>
      </c>
      <c r="E1038" s="107">
        <f>E1035+1</f>
        <v>958</v>
      </c>
      <c r="F1038" s="14" t="str">
        <f t="shared" ref="F1038:F1069" si="79">H1038</f>
        <v>Ada</v>
      </c>
      <c r="G1038" s="14" t="s">
        <v>45</v>
      </c>
      <c r="H1038" s="2" t="s">
        <v>148</v>
      </c>
      <c r="K1038" s="389" t="s">
        <v>47</v>
      </c>
    </row>
    <row r="1039" spans="2:11" x14ac:dyDescent="0.25">
      <c r="B1039" s="505"/>
      <c r="C1039" s="25" t="s">
        <v>2212</v>
      </c>
      <c r="D1039" s="25" t="s">
        <v>2213</v>
      </c>
      <c r="E1039" s="107">
        <f t="shared" ref="E1039:E1070" si="80">E1038+1</f>
        <v>959</v>
      </c>
      <c r="F1039" s="14">
        <f t="shared" si="79"/>
        <v>0.15</v>
      </c>
      <c r="G1039" s="14" t="s">
        <v>230</v>
      </c>
      <c r="H1039" s="2">
        <v>0.15</v>
      </c>
      <c r="J1039" s="177" t="s">
        <v>2075</v>
      </c>
      <c r="K1039" s="389" t="s">
        <v>2214</v>
      </c>
    </row>
    <row r="1040" spans="2:11" x14ac:dyDescent="0.25">
      <c r="B1040" s="505"/>
      <c r="C1040" s="25" t="s">
        <v>2215</v>
      </c>
      <c r="D1040" s="25" t="s">
        <v>2216</v>
      </c>
      <c r="E1040" s="107">
        <f t="shared" si="80"/>
        <v>960</v>
      </c>
      <c r="F1040" s="14">
        <f t="shared" si="79"/>
        <v>0.9</v>
      </c>
      <c r="G1040" s="14" t="s">
        <v>864</v>
      </c>
      <c r="H1040" s="2">
        <v>0.9</v>
      </c>
      <c r="J1040" s="177" t="s">
        <v>2075</v>
      </c>
      <c r="K1040" s="389" t="s">
        <v>2217</v>
      </c>
    </row>
    <row r="1041" spans="2:11" x14ac:dyDescent="0.25">
      <c r="B1041" s="505" t="str">
        <f>"E "&amp;(RIGHT(B1038,3)+1)</f>
        <v>E 422</v>
      </c>
      <c r="C1041" s="69" t="s">
        <v>2218</v>
      </c>
      <c r="D1041" s="25" t="s">
        <v>2219</v>
      </c>
      <c r="E1041" s="107">
        <f t="shared" si="80"/>
        <v>961</v>
      </c>
      <c r="F1041" s="14" t="str">
        <f t="shared" si="79"/>
        <v>Tidak Ada</v>
      </c>
      <c r="G1041" s="14" t="s">
        <v>45</v>
      </c>
      <c r="H1041" s="2" t="s">
        <v>64</v>
      </c>
      <c r="K1041" s="389" t="s">
        <v>2220</v>
      </c>
    </row>
    <row r="1042" spans="2:11" x14ac:dyDescent="0.25">
      <c r="B1042" s="505"/>
      <c r="C1042" s="25" t="s">
        <v>2221</v>
      </c>
      <c r="D1042" s="25" t="s">
        <v>2222</v>
      </c>
      <c r="E1042" s="107">
        <f t="shared" si="80"/>
        <v>962</v>
      </c>
      <c r="F1042" s="14">
        <f t="shared" si="79"/>
        <v>0</v>
      </c>
      <c r="G1042" s="14" t="s">
        <v>230</v>
      </c>
      <c r="H1042" s="2">
        <v>0</v>
      </c>
      <c r="J1042" s="177" t="s">
        <v>2075</v>
      </c>
      <c r="K1042" s="389" t="s">
        <v>2223</v>
      </c>
    </row>
    <row r="1043" spans="2:11" x14ac:dyDescent="0.25">
      <c r="B1043" s="505"/>
      <c r="C1043" s="25" t="s">
        <v>2215</v>
      </c>
      <c r="D1043" s="25" t="s">
        <v>2224</v>
      </c>
      <c r="E1043" s="107">
        <f t="shared" si="80"/>
        <v>963</v>
      </c>
      <c r="F1043" s="14">
        <f t="shared" si="79"/>
        <v>0</v>
      </c>
      <c r="G1043" s="14" t="s">
        <v>864</v>
      </c>
      <c r="H1043" s="2">
        <v>0</v>
      </c>
      <c r="J1043" s="177" t="s">
        <v>2075</v>
      </c>
      <c r="K1043" s="389" t="s">
        <v>2225</v>
      </c>
    </row>
    <row r="1044" spans="2:11" x14ac:dyDescent="0.25">
      <c r="B1044" s="505" t="str">
        <f>"E "&amp;(RIGHT(B1041,3)+1)</f>
        <v>E 423</v>
      </c>
      <c r="C1044" s="69" t="s">
        <v>2226</v>
      </c>
      <c r="D1044" s="25" t="s">
        <v>2227</v>
      </c>
      <c r="E1044" s="107">
        <f t="shared" si="80"/>
        <v>964</v>
      </c>
      <c r="F1044" s="14" t="str">
        <f t="shared" si="79"/>
        <v>Ada</v>
      </c>
      <c r="G1044" s="14" t="s">
        <v>45</v>
      </c>
      <c r="H1044" s="2" t="s">
        <v>148</v>
      </c>
      <c r="K1044" s="389" t="s">
        <v>2228</v>
      </c>
    </row>
    <row r="1045" spans="2:11" x14ac:dyDescent="0.25">
      <c r="B1045" s="505"/>
      <c r="C1045" s="25" t="s">
        <v>2229</v>
      </c>
      <c r="D1045" s="25" t="s">
        <v>2230</v>
      </c>
      <c r="E1045" s="107">
        <f t="shared" si="80"/>
        <v>965</v>
      </c>
      <c r="F1045" s="14">
        <f t="shared" si="79"/>
        <v>0</v>
      </c>
      <c r="G1045" s="14" t="s">
        <v>230</v>
      </c>
      <c r="H1045" s="2">
        <v>0</v>
      </c>
      <c r="J1045" s="177" t="s">
        <v>2075</v>
      </c>
      <c r="K1045" s="389" t="s">
        <v>2231</v>
      </c>
    </row>
    <row r="1046" spans="2:11" x14ac:dyDescent="0.25">
      <c r="B1046" s="505"/>
      <c r="C1046" s="25" t="s">
        <v>2215</v>
      </c>
      <c r="D1046" s="25" t="s">
        <v>2232</v>
      </c>
      <c r="E1046" s="107">
        <f t="shared" si="80"/>
        <v>966</v>
      </c>
      <c r="F1046" s="14">
        <f t="shared" si="79"/>
        <v>0</v>
      </c>
      <c r="G1046" s="14" t="s">
        <v>864</v>
      </c>
      <c r="H1046" s="2">
        <v>0</v>
      </c>
      <c r="J1046" s="177" t="s">
        <v>2075</v>
      </c>
      <c r="K1046" s="389" t="s">
        <v>2233</v>
      </c>
    </row>
    <row r="1047" spans="2:11" x14ac:dyDescent="0.25">
      <c r="B1047" s="505" t="str">
        <f>"E "&amp;(RIGHT(B1044,3)+1)</f>
        <v>E 424</v>
      </c>
      <c r="C1047" s="69" t="s">
        <v>2234</v>
      </c>
      <c r="D1047" s="25" t="s">
        <v>2235</v>
      </c>
      <c r="E1047" s="107">
        <f t="shared" si="80"/>
        <v>967</v>
      </c>
      <c r="F1047" s="14" t="str">
        <f t="shared" si="79"/>
        <v>Tidak Ada</v>
      </c>
      <c r="G1047" s="14" t="s">
        <v>45</v>
      </c>
      <c r="H1047" s="2" t="s">
        <v>64</v>
      </c>
      <c r="K1047" s="389" t="s">
        <v>2236</v>
      </c>
    </row>
    <row r="1048" spans="2:11" x14ac:dyDescent="0.25">
      <c r="B1048" s="505"/>
      <c r="C1048" s="25" t="s">
        <v>2237</v>
      </c>
      <c r="D1048" s="25" t="s">
        <v>2238</v>
      </c>
      <c r="E1048" s="107">
        <f t="shared" si="80"/>
        <v>968</v>
      </c>
      <c r="F1048" s="14">
        <f t="shared" si="79"/>
        <v>0</v>
      </c>
      <c r="G1048" s="14" t="s">
        <v>230</v>
      </c>
      <c r="H1048" s="2">
        <v>0</v>
      </c>
      <c r="K1048" s="389" t="s">
        <v>2239</v>
      </c>
    </row>
    <row r="1049" spans="2:11" x14ac:dyDescent="0.25">
      <c r="B1049" s="505"/>
      <c r="C1049" s="25" t="s">
        <v>2215</v>
      </c>
      <c r="D1049" s="25" t="s">
        <v>2240</v>
      </c>
      <c r="E1049" s="107">
        <f t="shared" si="80"/>
        <v>969</v>
      </c>
      <c r="F1049" s="14">
        <f t="shared" si="79"/>
        <v>0</v>
      </c>
      <c r="G1049" s="14" t="s">
        <v>864</v>
      </c>
      <c r="H1049" s="2">
        <v>0</v>
      </c>
      <c r="J1049" s="177" t="s">
        <v>2075</v>
      </c>
      <c r="K1049" s="389" t="s">
        <v>2241</v>
      </c>
    </row>
    <row r="1050" spans="2:11" x14ac:dyDescent="0.25">
      <c r="B1050" s="505" t="str">
        <f>"E "&amp;(RIGHT(B1047,3)+1)</f>
        <v>E 425</v>
      </c>
      <c r="C1050" s="69" t="s">
        <v>2242</v>
      </c>
      <c r="D1050" s="25" t="s">
        <v>2243</v>
      </c>
      <c r="E1050" s="107">
        <f t="shared" si="80"/>
        <v>970</v>
      </c>
      <c r="F1050" s="14" t="str">
        <f t="shared" si="79"/>
        <v>Tidak Ada</v>
      </c>
      <c r="G1050" s="14" t="s">
        <v>45</v>
      </c>
      <c r="H1050" s="2" t="s">
        <v>64</v>
      </c>
      <c r="J1050" s="177" t="s">
        <v>2075</v>
      </c>
      <c r="K1050" s="389" t="s">
        <v>2244</v>
      </c>
    </row>
    <row r="1051" spans="2:11" x14ac:dyDescent="0.25">
      <c r="B1051" s="505"/>
      <c r="C1051" s="25" t="s">
        <v>2245</v>
      </c>
      <c r="D1051" s="25" t="s">
        <v>2246</v>
      </c>
      <c r="E1051" s="107">
        <f t="shared" si="80"/>
        <v>971</v>
      </c>
      <c r="F1051" s="14">
        <f t="shared" si="79"/>
        <v>0</v>
      </c>
      <c r="G1051" s="14" t="s">
        <v>33</v>
      </c>
      <c r="H1051" s="2">
        <v>0</v>
      </c>
      <c r="K1051" s="389" t="s">
        <v>2247</v>
      </c>
    </row>
    <row r="1052" spans="2:11" x14ac:dyDescent="0.25">
      <c r="B1052" s="505"/>
      <c r="C1052" s="25" t="s">
        <v>2248</v>
      </c>
      <c r="D1052" s="25" t="s">
        <v>2249</v>
      </c>
      <c r="E1052" s="107">
        <f t="shared" si="80"/>
        <v>972</v>
      </c>
      <c r="F1052" s="14" t="str">
        <f t="shared" si="79"/>
        <v>Tidak ada</v>
      </c>
      <c r="G1052" s="14" t="s">
        <v>230</v>
      </c>
      <c r="H1052" s="2" t="s">
        <v>278</v>
      </c>
      <c r="J1052" s="177" t="s">
        <v>2075</v>
      </c>
      <c r="K1052" s="389" t="s">
        <v>2250</v>
      </c>
    </row>
    <row r="1053" spans="2:11" x14ac:dyDescent="0.25">
      <c r="B1053" s="505"/>
      <c r="C1053" s="25" t="s">
        <v>2251</v>
      </c>
      <c r="D1053" s="25" t="s">
        <v>2252</v>
      </c>
      <c r="E1053" s="107">
        <f t="shared" si="80"/>
        <v>973</v>
      </c>
      <c r="F1053" s="14">
        <f t="shared" si="79"/>
        <v>0</v>
      </c>
      <c r="G1053" s="14" t="s">
        <v>864</v>
      </c>
      <c r="H1053" s="2">
        <v>0</v>
      </c>
      <c r="J1053" s="177" t="s">
        <v>2075</v>
      </c>
      <c r="K1053" s="389" t="s">
        <v>2253</v>
      </c>
    </row>
    <row r="1054" spans="2:11" x14ac:dyDescent="0.25">
      <c r="B1054" s="505" t="str">
        <f>"E "&amp;(RIGHT(B1050,3)+1)</f>
        <v>E 426</v>
      </c>
      <c r="C1054" s="69" t="s">
        <v>2254</v>
      </c>
      <c r="D1054" s="25" t="s">
        <v>2255</v>
      </c>
      <c r="E1054" s="107">
        <f t="shared" si="80"/>
        <v>974</v>
      </c>
      <c r="F1054" s="14" t="str">
        <f t="shared" si="79"/>
        <v>Tidak Ada</v>
      </c>
      <c r="G1054" s="14" t="s">
        <v>45</v>
      </c>
      <c r="H1054" s="2" t="s">
        <v>64</v>
      </c>
      <c r="K1054" s="389" t="s">
        <v>2256</v>
      </c>
    </row>
    <row r="1055" spans="2:11" x14ac:dyDescent="0.25">
      <c r="B1055" s="505"/>
      <c r="C1055" s="25" t="s">
        <v>2257</v>
      </c>
      <c r="D1055" s="25" t="s">
        <v>2258</v>
      </c>
      <c r="E1055" s="107">
        <f t="shared" si="80"/>
        <v>975</v>
      </c>
      <c r="F1055" s="14">
        <f t="shared" si="79"/>
        <v>0</v>
      </c>
      <c r="G1055" s="14" t="s">
        <v>230</v>
      </c>
      <c r="H1055" s="2">
        <v>0</v>
      </c>
      <c r="J1055" s="177" t="s">
        <v>2075</v>
      </c>
      <c r="K1055" s="389" t="s">
        <v>2259</v>
      </c>
    </row>
    <row r="1056" spans="2:11" x14ac:dyDescent="0.25">
      <c r="B1056" s="505"/>
      <c r="C1056" s="25" t="s">
        <v>2215</v>
      </c>
      <c r="D1056" s="25" t="s">
        <v>2260</v>
      </c>
      <c r="E1056" s="107">
        <f t="shared" si="80"/>
        <v>976</v>
      </c>
      <c r="F1056" s="14">
        <f t="shared" si="79"/>
        <v>0</v>
      </c>
      <c r="G1056" s="14" t="s">
        <v>864</v>
      </c>
      <c r="H1056" s="2">
        <v>0</v>
      </c>
      <c r="J1056" s="177" t="s">
        <v>2075</v>
      </c>
      <c r="K1056" s="389" t="s">
        <v>2261</v>
      </c>
    </row>
    <row r="1057" spans="2:11" x14ac:dyDescent="0.25">
      <c r="B1057" s="505" t="str">
        <f>"E "&amp;(RIGHT(B1054,3)+1)</f>
        <v>E 427</v>
      </c>
      <c r="C1057" s="69" t="s">
        <v>2262</v>
      </c>
      <c r="D1057" s="25" t="s">
        <v>2263</v>
      </c>
      <c r="E1057" s="107">
        <f t="shared" si="80"/>
        <v>977</v>
      </c>
      <c r="F1057" s="14" t="str">
        <f t="shared" si="79"/>
        <v>Ada</v>
      </c>
      <c r="G1057" s="14" t="s">
        <v>45</v>
      </c>
      <c r="H1057" s="2" t="s">
        <v>148</v>
      </c>
      <c r="K1057" s="389" t="s">
        <v>2264</v>
      </c>
    </row>
    <row r="1058" spans="2:11" x14ac:dyDescent="0.25">
      <c r="B1058" s="505"/>
      <c r="C1058" s="25" t="s">
        <v>2265</v>
      </c>
      <c r="D1058" s="25" t="s">
        <v>2266</v>
      </c>
      <c r="E1058" s="107">
        <f t="shared" si="80"/>
        <v>978</v>
      </c>
      <c r="F1058" s="14">
        <f t="shared" si="79"/>
        <v>0.2</v>
      </c>
      <c r="G1058" s="14" t="s">
        <v>230</v>
      </c>
      <c r="H1058" s="2">
        <v>0.2</v>
      </c>
      <c r="J1058" s="177" t="s">
        <v>2075</v>
      </c>
      <c r="K1058" s="389" t="s">
        <v>2267</v>
      </c>
    </row>
    <row r="1059" spans="2:11" x14ac:dyDescent="0.25">
      <c r="B1059" s="505"/>
      <c r="C1059" s="25" t="s">
        <v>2215</v>
      </c>
      <c r="D1059" s="25" t="s">
        <v>2268</v>
      </c>
      <c r="E1059" s="107">
        <f t="shared" si="80"/>
        <v>979</v>
      </c>
      <c r="F1059" s="14">
        <f t="shared" si="79"/>
        <v>0.4</v>
      </c>
      <c r="G1059" s="14" t="s">
        <v>864</v>
      </c>
      <c r="H1059" s="2">
        <v>0.4</v>
      </c>
      <c r="J1059" s="177" t="s">
        <v>2075</v>
      </c>
      <c r="K1059" s="389" t="s">
        <v>2269</v>
      </c>
    </row>
    <row r="1060" spans="2:11" x14ac:dyDescent="0.25">
      <c r="B1060" s="505" t="str">
        <f>"E "&amp;(RIGHT(B1057,3)+1)</f>
        <v>E 428</v>
      </c>
      <c r="C1060" s="69" t="s">
        <v>2270</v>
      </c>
      <c r="D1060" s="25" t="s">
        <v>2271</v>
      </c>
      <c r="E1060" s="107">
        <f t="shared" si="80"/>
        <v>980</v>
      </c>
      <c r="F1060" s="14" t="str">
        <f t="shared" si="79"/>
        <v>Tidak Ada</v>
      </c>
      <c r="G1060" s="14" t="s">
        <v>45</v>
      </c>
      <c r="H1060" s="2" t="s">
        <v>64</v>
      </c>
      <c r="K1060" s="389" t="s">
        <v>2272</v>
      </c>
    </row>
    <row r="1061" spans="2:11" x14ac:dyDescent="0.25">
      <c r="B1061" s="505"/>
      <c r="C1061" s="25" t="s">
        <v>2273</v>
      </c>
      <c r="D1061" s="25" t="s">
        <v>2274</v>
      </c>
      <c r="E1061" s="107">
        <f t="shared" si="80"/>
        <v>981</v>
      </c>
      <c r="F1061" s="14">
        <f t="shared" si="79"/>
        <v>0</v>
      </c>
      <c r="G1061" s="14" t="s">
        <v>230</v>
      </c>
      <c r="H1061" s="2">
        <v>0</v>
      </c>
      <c r="J1061" s="177" t="s">
        <v>2075</v>
      </c>
      <c r="K1061" s="389" t="s">
        <v>2275</v>
      </c>
    </row>
    <row r="1062" spans="2:11" x14ac:dyDescent="0.25">
      <c r="B1062" s="505"/>
      <c r="C1062" s="25" t="s">
        <v>2215</v>
      </c>
      <c r="D1062" s="25" t="s">
        <v>2276</v>
      </c>
      <c r="E1062" s="107">
        <f t="shared" si="80"/>
        <v>982</v>
      </c>
      <c r="F1062" s="14">
        <f t="shared" si="79"/>
        <v>0</v>
      </c>
      <c r="G1062" s="14" t="s">
        <v>864</v>
      </c>
      <c r="H1062" s="2">
        <v>0</v>
      </c>
      <c r="J1062" s="177" t="s">
        <v>2075</v>
      </c>
      <c r="K1062" s="389" t="s">
        <v>2277</v>
      </c>
    </row>
    <row r="1063" spans="2:11" x14ac:dyDescent="0.25">
      <c r="B1063" s="505" t="str">
        <f>"E "&amp;(RIGHT(B1060,3)+1)</f>
        <v>E 429</v>
      </c>
      <c r="C1063" s="69" t="s">
        <v>2278</v>
      </c>
      <c r="D1063" s="25" t="s">
        <v>2279</v>
      </c>
      <c r="E1063" s="107">
        <f t="shared" si="80"/>
        <v>983</v>
      </c>
      <c r="F1063" s="14" t="str">
        <f t="shared" si="79"/>
        <v>Ada</v>
      </c>
      <c r="G1063" s="14" t="s">
        <v>45</v>
      </c>
      <c r="H1063" s="2" t="s">
        <v>148</v>
      </c>
      <c r="K1063" s="389" t="s">
        <v>2280</v>
      </c>
    </row>
    <row r="1064" spans="2:11" x14ac:dyDescent="0.25">
      <c r="B1064" s="505"/>
      <c r="C1064" s="25" t="s">
        <v>2281</v>
      </c>
      <c r="D1064" s="25" t="s">
        <v>2282</v>
      </c>
      <c r="E1064" s="107">
        <f t="shared" si="80"/>
        <v>984</v>
      </c>
      <c r="F1064" s="14">
        <f t="shared" si="79"/>
        <v>0.35</v>
      </c>
      <c r="G1064" s="14" t="s">
        <v>230</v>
      </c>
      <c r="H1064" s="2">
        <v>0.35</v>
      </c>
      <c r="J1064" s="177" t="s">
        <v>2075</v>
      </c>
      <c r="K1064" s="389" t="s">
        <v>2283</v>
      </c>
    </row>
    <row r="1065" spans="2:11" x14ac:dyDescent="0.25">
      <c r="B1065" s="505"/>
      <c r="C1065" s="25" t="s">
        <v>2215</v>
      </c>
      <c r="D1065" s="25" t="s">
        <v>2284</v>
      </c>
      <c r="E1065" s="107">
        <f t="shared" si="80"/>
        <v>985</v>
      </c>
      <c r="F1065" s="14">
        <f t="shared" si="79"/>
        <v>0.7</v>
      </c>
      <c r="G1065" s="14" t="s">
        <v>864</v>
      </c>
      <c r="H1065" s="2">
        <v>0.7</v>
      </c>
      <c r="J1065" s="177" t="s">
        <v>2075</v>
      </c>
      <c r="K1065" s="389" t="s">
        <v>2285</v>
      </c>
    </row>
    <row r="1066" spans="2:11" x14ac:dyDescent="0.25">
      <c r="B1066" s="505" t="str">
        <f>"E "&amp;(RIGHT(B1063,3)+1)</f>
        <v>E 430</v>
      </c>
      <c r="C1066" s="69" t="s">
        <v>2286</v>
      </c>
      <c r="D1066" s="25" t="s">
        <v>2287</v>
      </c>
      <c r="E1066" s="107">
        <f t="shared" si="80"/>
        <v>986</v>
      </c>
      <c r="F1066" s="14" t="str">
        <f t="shared" si="79"/>
        <v>Tidak Ada</v>
      </c>
      <c r="G1066" s="14" t="s">
        <v>45</v>
      </c>
      <c r="H1066" s="2" t="s">
        <v>64</v>
      </c>
      <c r="K1066" s="389" t="s">
        <v>2288</v>
      </c>
    </row>
    <row r="1067" spans="2:11" x14ac:dyDescent="0.25">
      <c r="B1067" s="505"/>
      <c r="C1067" s="25" t="s">
        <v>2289</v>
      </c>
      <c r="D1067" s="25" t="s">
        <v>2290</v>
      </c>
      <c r="E1067" s="107">
        <f t="shared" si="80"/>
        <v>987</v>
      </c>
      <c r="F1067" s="14">
        <f t="shared" si="79"/>
        <v>0</v>
      </c>
      <c r="G1067" s="14" t="s">
        <v>230</v>
      </c>
      <c r="H1067" s="2">
        <v>0</v>
      </c>
      <c r="J1067" s="177" t="s">
        <v>2075</v>
      </c>
      <c r="K1067" s="389" t="s">
        <v>2291</v>
      </c>
    </row>
    <row r="1068" spans="2:11" x14ac:dyDescent="0.25">
      <c r="B1068" s="505"/>
      <c r="C1068" s="25" t="s">
        <v>2215</v>
      </c>
      <c r="D1068" s="25" t="s">
        <v>2292</v>
      </c>
      <c r="E1068" s="107">
        <f t="shared" si="80"/>
        <v>988</v>
      </c>
      <c r="F1068" s="14">
        <f t="shared" si="79"/>
        <v>0</v>
      </c>
      <c r="G1068" s="14" t="s">
        <v>864</v>
      </c>
      <c r="H1068" s="2">
        <v>0</v>
      </c>
      <c r="J1068" s="177" t="s">
        <v>2075</v>
      </c>
      <c r="K1068" s="389" t="s">
        <v>2293</v>
      </c>
    </row>
    <row r="1069" spans="2:11" x14ac:dyDescent="0.25">
      <c r="B1069" s="505" t="str">
        <f>"E "&amp;(RIGHT(B1066,3)+1)</f>
        <v>E 431</v>
      </c>
      <c r="C1069" s="69" t="s">
        <v>2294</v>
      </c>
      <c r="D1069" s="25" t="s">
        <v>2295</v>
      </c>
      <c r="E1069" s="107">
        <f t="shared" si="80"/>
        <v>989</v>
      </c>
      <c r="F1069" s="14" t="str">
        <f t="shared" si="79"/>
        <v>Tidak Ada</v>
      </c>
      <c r="G1069" s="14" t="s">
        <v>45</v>
      </c>
      <c r="H1069" s="2" t="s">
        <v>64</v>
      </c>
      <c r="K1069" s="389" t="s">
        <v>2296</v>
      </c>
    </row>
    <row r="1070" spans="2:11" x14ac:dyDescent="0.25">
      <c r="B1070" s="505"/>
      <c r="C1070" s="25" t="s">
        <v>2297</v>
      </c>
      <c r="D1070" s="25" t="s">
        <v>2298</v>
      </c>
      <c r="E1070" s="107">
        <f t="shared" si="80"/>
        <v>990</v>
      </c>
      <c r="F1070" s="14">
        <f t="shared" ref="F1070:F1101" si="81">H1070</f>
        <v>0</v>
      </c>
      <c r="G1070" s="14" t="s">
        <v>230</v>
      </c>
      <c r="H1070" s="2">
        <v>0</v>
      </c>
      <c r="J1070" s="177" t="s">
        <v>2075</v>
      </c>
      <c r="K1070" s="389" t="s">
        <v>2299</v>
      </c>
    </row>
    <row r="1071" spans="2:11" x14ac:dyDescent="0.25">
      <c r="B1071" s="505"/>
      <c r="C1071" s="25" t="s">
        <v>2215</v>
      </c>
      <c r="D1071" s="25" t="s">
        <v>2300</v>
      </c>
      <c r="E1071" s="107">
        <f t="shared" ref="E1071:E1102" si="82">E1070+1</f>
        <v>991</v>
      </c>
      <c r="F1071" s="14">
        <f t="shared" si="81"/>
        <v>0</v>
      </c>
      <c r="G1071" s="14" t="s">
        <v>864</v>
      </c>
      <c r="H1071" s="2">
        <v>0</v>
      </c>
      <c r="J1071" s="177" t="s">
        <v>2075</v>
      </c>
    </row>
    <row r="1072" spans="2:11" x14ac:dyDescent="0.25">
      <c r="B1072" s="505" t="str">
        <f>"E "&amp;(RIGHT(B1069,3)+1)</f>
        <v>E 432</v>
      </c>
      <c r="C1072" s="69" t="s">
        <v>2301</v>
      </c>
      <c r="D1072" s="25" t="s">
        <v>2302</v>
      </c>
      <c r="E1072" s="107">
        <f t="shared" si="82"/>
        <v>992</v>
      </c>
      <c r="F1072" s="14" t="str">
        <f t="shared" si="81"/>
        <v>Tidak Ada</v>
      </c>
      <c r="G1072" s="14" t="s">
        <v>45</v>
      </c>
      <c r="H1072" s="2" t="s">
        <v>64</v>
      </c>
    </row>
    <row r="1073" spans="2:10" x14ac:dyDescent="0.25">
      <c r="B1073" s="505"/>
      <c r="C1073" s="25" t="s">
        <v>2303</v>
      </c>
      <c r="D1073" s="25" t="s">
        <v>2304</v>
      </c>
      <c r="E1073" s="107">
        <f t="shared" si="82"/>
        <v>993</v>
      </c>
      <c r="F1073" s="14">
        <f t="shared" si="81"/>
        <v>0</v>
      </c>
      <c r="G1073" s="14" t="s">
        <v>230</v>
      </c>
      <c r="H1073" s="2">
        <v>0</v>
      </c>
      <c r="J1073" s="177" t="s">
        <v>2075</v>
      </c>
    </row>
    <row r="1074" spans="2:10" x14ac:dyDescent="0.25">
      <c r="B1074" s="505"/>
      <c r="C1074" s="25" t="s">
        <v>2215</v>
      </c>
      <c r="D1074" s="25" t="s">
        <v>2305</v>
      </c>
      <c r="E1074" s="107">
        <f t="shared" si="82"/>
        <v>994</v>
      </c>
      <c r="F1074" s="14">
        <f t="shared" si="81"/>
        <v>0</v>
      </c>
      <c r="G1074" s="14" t="s">
        <v>864</v>
      </c>
      <c r="H1074" s="2">
        <v>0</v>
      </c>
      <c r="J1074" s="177" t="s">
        <v>2075</v>
      </c>
    </row>
    <row r="1075" spans="2:10" x14ac:dyDescent="0.25">
      <c r="B1075" s="505" t="str">
        <f>"E "&amp;(RIGHT(B1072,3)+1)</f>
        <v>E 433</v>
      </c>
      <c r="C1075" s="69" t="s">
        <v>2306</v>
      </c>
      <c r="D1075" s="25" t="s">
        <v>2307</v>
      </c>
      <c r="E1075" s="107">
        <f t="shared" si="82"/>
        <v>995</v>
      </c>
      <c r="F1075" s="14" t="str">
        <f t="shared" si="81"/>
        <v>Tidak Ada</v>
      </c>
      <c r="G1075" s="14" t="s">
        <v>45</v>
      </c>
      <c r="H1075" s="2" t="s">
        <v>64</v>
      </c>
    </row>
    <row r="1076" spans="2:10" x14ac:dyDescent="0.25">
      <c r="B1076" s="505"/>
      <c r="C1076" s="25" t="s">
        <v>2308</v>
      </c>
      <c r="D1076" s="25" t="s">
        <v>2309</v>
      </c>
      <c r="E1076" s="107">
        <f t="shared" si="82"/>
        <v>996</v>
      </c>
      <c r="F1076" s="14" t="str">
        <f t="shared" si="81"/>
        <v>Tidak ada</v>
      </c>
      <c r="G1076" s="14" t="s">
        <v>33</v>
      </c>
      <c r="H1076" s="2" t="s">
        <v>278</v>
      </c>
    </row>
    <row r="1077" spans="2:10" x14ac:dyDescent="0.25">
      <c r="B1077" s="505"/>
      <c r="C1077" s="25" t="s">
        <v>2310</v>
      </c>
      <c r="D1077" s="25" t="s">
        <v>2311</v>
      </c>
      <c r="E1077" s="107">
        <f t="shared" si="82"/>
        <v>997</v>
      </c>
      <c r="F1077" s="14">
        <f t="shared" si="81"/>
        <v>0</v>
      </c>
      <c r="G1077" s="14" t="s">
        <v>230</v>
      </c>
      <c r="H1077" s="2">
        <v>0</v>
      </c>
      <c r="J1077" s="177" t="s">
        <v>2075</v>
      </c>
    </row>
    <row r="1078" spans="2:10" x14ac:dyDescent="0.25">
      <c r="B1078" s="505"/>
      <c r="C1078" s="25" t="s">
        <v>2251</v>
      </c>
      <c r="D1078" s="25" t="s">
        <v>2312</v>
      </c>
      <c r="E1078" s="107">
        <f t="shared" si="82"/>
        <v>998</v>
      </c>
      <c r="F1078" s="14">
        <f t="shared" si="81"/>
        <v>0</v>
      </c>
      <c r="G1078" s="14" t="s">
        <v>864</v>
      </c>
      <c r="H1078" s="2">
        <v>0</v>
      </c>
      <c r="J1078" s="177" t="s">
        <v>2075</v>
      </c>
    </row>
    <row r="1079" spans="2:10" x14ac:dyDescent="0.25">
      <c r="B1079" s="505" t="str">
        <f>"E "&amp;(RIGHT(B1075,3)+1)</f>
        <v>E 434</v>
      </c>
      <c r="C1079" s="69" t="s">
        <v>2313</v>
      </c>
      <c r="D1079" s="25" t="s">
        <v>2314</v>
      </c>
      <c r="E1079" s="107">
        <f t="shared" si="82"/>
        <v>999</v>
      </c>
      <c r="F1079" s="14" t="str">
        <f t="shared" si="81"/>
        <v>Tidak Ada</v>
      </c>
      <c r="G1079" s="14" t="s">
        <v>45</v>
      </c>
      <c r="H1079" s="2" t="s">
        <v>64</v>
      </c>
    </row>
    <row r="1080" spans="2:10" x14ac:dyDescent="0.25">
      <c r="B1080" s="505"/>
      <c r="C1080" s="25" t="s">
        <v>2315</v>
      </c>
      <c r="D1080" s="25" t="s">
        <v>2316</v>
      </c>
      <c r="E1080" s="107">
        <f t="shared" si="82"/>
        <v>1000</v>
      </c>
      <c r="F1080" s="14">
        <f t="shared" si="81"/>
        <v>0</v>
      </c>
      <c r="G1080" s="14" t="s">
        <v>230</v>
      </c>
      <c r="H1080" s="2">
        <v>0</v>
      </c>
      <c r="J1080" s="177" t="s">
        <v>2075</v>
      </c>
    </row>
    <row r="1081" spans="2:10" x14ac:dyDescent="0.25">
      <c r="B1081" s="505"/>
      <c r="C1081" s="25" t="s">
        <v>2215</v>
      </c>
      <c r="D1081" s="25" t="s">
        <v>2317</v>
      </c>
      <c r="E1081" s="107">
        <f t="shared" si="82"/>
        <v>1001</v>
      </c>
      <c r="F1081" s="14">
        <f t="shared" si="81"/>
        <v>0</v>
      </c>
      <c r="G1081" s="14" t="s">
        <v>864</v>
      </c>
      <c r="H1081" s="2">
        <v>0</v>
      </c>
      <c r="J1081" s="177" t="s">
        <v>2075</v>
      </c>
    </row>
    <row r="1082" spans="2:10" x14ac:dyDescent="0.25">
      <c r="B1082" s="505" t="str">
        <f>"E "&amp;(RIGHT(B1079,3)+1)</f>
        <v>E 435</v>
      </c>
      <c r="C1082" s="69" t="s">
        <v>2318</v>
      </c>
      <c r="D1082" s="25" t="s">
        <v>2319</v>
      </c>
      <c r="E1082" s="107">
        <f t="shared" si="82"/>
        <v>1002</v>
      </c>
      <c r="F1082" s="14" t="str">
        <f t="shared" si="81"/>
        <v>Tidak Ada</v>
      </c>
      <c r="G1082" s="14" t="s">
        <v>45</v>
      </c>
      <c r="H1082" s="2" t="s">
        <v>64</v>
      </c>
    </row>
    <row r="1083" spans="2:10" x14ac:dyDescent="0.25">
      <c r="B1083" s="505"/>
      <c r="C1083" s="25" t="s">
        <v>2320</v>
      </c>
      <c r="D1083" s="25" t="s">
        <v>2321</v>
      </c>
      <c r="E1083" s="107">
        <f t="shared" si="82"/>
        <v>1003</v>
      </c>
      <c r="F1083" s="14">
        <f t="shared" si="81"/>
        <v>0</v>
      </c>
      <c r="G1083" s="14" t="s">
        <v>230</v>
      </c>
      <c r="H1083" s="2">
        <v>0</v>
      </c>
      <c r="J1083" s="177" t="s">
        <v>2075</v>
      </c>
    </row>
    <row r="1084" spans="2:10" x14ac:dyDescent="0.25">
      <c r="B1084" s="505"/>
      <c r="C1084" s="25" t="s">
        <v>2215</v>
      </c>
      <c r="D1084" s="25" t="s">
        <v>2322</v>
      </c>
      <c r="E1084" s="107">
        <f t="shared" si="82"/>
        <v>1004</v>
      </c>
      <c r="F1084" s="14">
        <f t="shared" si="81"/>
        <v>0</v>
      </c>
      <c r="G1084" s="14" t="s">
        <v>864</v>
      </c>
      <c r="H1084" s="2">
        <v>0</v>
      </c>
      <c r="J1084" s="177" t="s">
        <v>2075</v>
      </c>
    </row>
    <row r="1085" spans="2:10" x14ac:dyDescent="0.25">
      <c r="B1085" s="505" t="str">
        <f>"E "&amp;(RIGHT(B1082,3)+1)</f>
        <v>E 436</v>
      </c>
      <c r="C1085" s="69" t="s">
        <v>2323</v>
      </c>
      <c r="D1085" s="25" t="s">
        <v>2324</v>
      </c>
      <c r="E1085" s="107">
        <f t="shared" si="82"/>
        <v>1005</v>
      </c>
      <c r="F1085" s="14" t="str">
        <f t="shared" si="81"/>
        <v>Tidak Ada</v>
      </c>
      <c r="G1085" s="14" t="s">
        <v>45</v>
      </c>
      <c r="H1085" s="2" t="s">
        <v>64</v>
      </c>
    </row>
    <row r="1086" spans="2:10" x14ac:dyDescent="0.25">
      <c r="B1086" s="505"/>
      <c r="C1086" s="25" t="s">
        <v>2325</v>
      </c>
      <c r="D1086" s="25" t="s">
        <v>2326</v>
      </c>
      <c r="E1086" s="107">
        <f t="shared" si="82"/>
        <v>1006</v>
      </c>
      <c r="F1086" s="14">
        <f t="shared" si="81"/>
        <v>0</v>
      </c>
      <c r="G1086" s="14" t="s">
        <v>230</v>
      </c>
      <c r="H1086" s="2">
        <v>0</v>
      </c>
      <c r="J1086" s="177" t="s">
        <v>2075</v>
      </c>
    </row>
    <row r="1087" spans="2:10" x14ac:dyDescent="0.25">
      <c r="B1087" s="505"/>
      <c r="C1087" s="25" t="s">
        <v>2215</v>
      </c>
      <c r="D1087" s="25" t="s">
        <v>2327</v>
      </c>
      <c r="E1087" s="107">
        <f t="shared" si="82"/>
        <v>1007</v>
      </c>
      <c r="F1087" s="14">
        <f t="shared" si="81"/>
        <v>0</v>
      </c>
      <c r="G1087" s="14" t="s">
        <v>864</v>
      </c>
      <c r="H1087" s="2">
        <v>0</v>
      </c>
      <c r="J1087" s="177" t="s">
        <v>2075</v>
      </c>
    </row>
    <row r="1088" spans="2:10" x14ac:dyDescent="0.25">
      <c r="B1088" s="505" t="str">
        <f>"E "&amp;(RIGHT(B1085,3)+1)</f>
        <v>E 437</v>
      </c>
      <c r="C1088" s="69" t="s">
        <v>2328</v>
      </c>
      <c r="D1088" s="25" t="s">
        <v>2329</v>
      </c>
      <c r="E1088" s="107">
        <f t="shared" si="82"/>
        <v>1008</v>
      </c>
      <c r="F1088" s="14" t="str">
        <f t="shared" si="81"/>
        <v>Ada</v>
      </c>
      <c r="G1088" s="14" t="s">
        <v>45</v>
      </c>
      <c r="H1088" s="2" t="s">
        <v>148</v>
      </c>
    </row>
    <row r="1089" spans="2:10" x14ac:dyDescent="0.25">
      <c r="B1089" s="505"/>
      <c r="C1089" s="25" t="s">
        <v>2330</v>
      </c>
      <c r="D1089" s="25" t="s">
        <v>2331</v>
      </c>
      <c r="E1089" s="107">
        <f t="shared" si="82"/>
        <v>1009</v>
      </c>
      <c r="F1089" s="14">
        <f t="shared" si="81"/>
        <v>0.34</v>
      </c>
      <c r="G1089" s="14" t="s">
        <v>230</v>
      </c>
      <c r="H1089" s="2">
        <v>0.34</v>
      </c>
      <c r="J1089" s="177" t="s">
        <v>2075</v>
      </c>
    </row>
    <row r="1090" spans="2:10" x14ac:dyDescent="0.25">
      <c r="B1090" s="505"/>
      <c r="C1090" s="25" t="s">
        <v>2215</v>
      </c>
      <c r="D1090" s="25" t="s">
        <v>2332</v>
      </c>
      <c r="E1090" s="107">
        <f t="shared" si="82"/>
        <v>1010</v>
      </c>
      <c r="F1090" s="14">
        <f t="shared" si="81"/>
        <v>0.6</v>
      </c>
      <c r="G1090" s="14" t="s">
        <v>864</v>
      </c>
      <c r="H1090" s="2">
        <v>0.6</v>
      </c>
      <c r="J1090" s="177" t="s">
        <v>2075</v>
      </c>
    </row>
    <row r="1091" spans="2:10" x14ac:dyDescent="0.25">
      <c r="B1091" s="505" t="str">
        <f>"E "&amp;(RIGHT(B1088,3)+1)</f>
        <v>E 438</v>
      </c>
      <c r="C1091" s="69" t="s">
        <v>2333</v>
      </c>
      <c r="D1091" s="25" t="s">
        <v>2334</v>
      </c>
      <c r="E1091" s="107">
        <f t="shared" si="82"/>
        <v>1011</v>
      </c>
      <c r="F1091" s="14" t="str">
        <f t="shared" si="81"/>
        <v>Tidak Ada</v>
      </c>
      <c r="G1091" s="14" t="s">
        <v>45</v>
      </c>
      <c r="H1091" s="2" t="s">
        <v>64</v>
      </c>
    </row>
    <row r="1092" spans="2:10" x14ac:dyDescent="0.25">
      <c r="B1092" s="505"/>
      <c r="C1092" s="25" t="s">
        <v>2335</v>
      </c>
      <c r="D1092" s="25" t="s">
        <v>2336</v>
      </c>
      <c r="E1092" s="107">
        <f t="shared" si="82"/>
        <v>1012</v>
      </c>
      <c r="F1092" s="14">
        <f t="shared" si="81"/>
        <v>0</v>
      </c>
      <c r="G1092" s="14" t="s">
        <v>230</v>
      </c>
      <c r="H1092" s="2">
        <v>0</v>
      </c>
      <c r="J1092" s="177" t="s">
        <v>2075</v>
      </c>
    </row>
    <row r="1093" spans="2:10" x14ac:dyDescent="0.25">
      <c r="B1093" s="505"/>
      <c r="C1093" s="25" t="s">
        <v>2215</v>
      </c>
      <c r="D1093" s="25" t="s">
        <v>2337</v>
      </c>
      <c r="E1093" s="107">
        <f t="shared" si="82"/>
        <v>1013</v>
      </c>
      <c r="F1093" s="14">
        <f t="shared" si="81"/>
        <v>0</v>
      </c>
      <c r="G1093" s="14" t="s">
        <v>864</v>
      </c>
      <c r="H1093" s="2">
        <v>0</v>
      </c>
      <c r="J1093" s="177" t="s">
        <v>2075</v>
      </c>
    </row>
    <row r="1094" spans="2:10" x14ac:dyDescent="0.25">
      <c r="B1094" s="505" t="str">
        <f>"E "&amp;(RIGHT(B1091,3)+1)</f>
        <v>E 439</v>
      </c>
      <c r="C1094" s="69" t="s">
        <v>2338</v>
      </c>
      <c r="D1094" s="25" t="s">
        <v>2339</v>
      </c>
      <c r="E1094" s="107">
        <f t="shared" si="82"/>
        <v>1014</v>
      </c>
      <c r="F1094" s="14" t="str">
        <f t="shared" si="81"/>
        <v>Ada</v>
      </c>
      <c r="G1094" s="14" t="s">
        <v>45</v>
      </c>
      <c r="H1094" s="2" t="s">
        <v>148</v>
      </c>
    </row>
    <row r="1095" spans="2:10" x14ac:dyDescent="0.25">
      <c r="B1095" s="505"/>
      <c r="C1095" s="25" t="s">
        <v>2340</v>
      </c>
      <c r="D1095" s="25" t="s">
        <v>2341</v>
      </c>
      <c r="E1095" s="107">
        <f t="shared" si="82"/>
        <v>1015</v>
      </c>
      <c r="F1095" s="14">
        <f t="shared" si="81"/>
        <v>0.9</v>
      </c>
      <c r="G1095" s="14" t="s">
        <v>230</v>
      </c>
      <c r="H1095" s="2">
        <v>0.9</v>
      </c>
      <c r="J1095" s="177" t="s">
        <v>2075</v>
      </c>
    </row>
    <row r="1096" spans="2:10" x14ac:dyDescent="0.25">
      <c r="B1096" s="505"/>
      <c r="C1096" s="25" t="s">
        <v>2215</v>
      </c>
      <c r="D1096" s="25" t="s">
        <v>2342</v>
      </c>
      <c r="E1096" s="107">
        <f t="shared" si="82"/>
        <v>1016</v>
      </c>
      <c r="F1096" s="14">
        <f t="shared" si="81"/>
        <v>4</v>
      </c>
      <c r="G1096" s="14" t="s">
        <v>864</v>
      </c>
      <c r="H1096" s="2">
        <v>4</v>
      </c>
      <c r="J1096" s="177" t="s">
        <v>2075</v>
      </c>
    </row>
    <row r="1097" spans="2:10" x14ac:dyDescent="0.25">
      <c r="B1097" s="505" t="str">
        <f>"E "&amp;(RIGHT(B1094,3)+1)</f>
        <v>E 440</v>
      </c>
      <c r="C1097" s="69" t="s">
        <v>2343</v>
      </c>
      <c r="D1097" s="25" t="s">
        <v>2344</v>
      </c>
      <c r="E1097" s="107">
        <f t="shared" si="82"/>
        <v>1017</v>
      </c>
      <c r="F1097" s="14" t="str">
        <f t="shared" si="81"/>
        <v>Tidak Ada</v>
      </c>
      <c r="G1097" s="14" t="s">
        <v>45</v>
      </c>
      <c r="H1097" s="2" t="s">
        <v>64</v>
      </c>
    </row>
    <row r="1098" spans="2:10" x14ac:dyDescent="0.25">
      <c r="B1098" s="505"/>
      <c r="C1098" s="25" t="s">
        <v>2345</v>
      </c>
      <c r="D1098" s="25" t="s">
        <v>2346</v>
      </c>
      <c r="E1098" s="107">
        <f t="shared" si="82"/>
        <v>1018</v>
      </c>
      <c r="F1098" s="14">
        <f t="shared" si="81"/>
        <v>0</v>
      </c>
      <c r="G1098" s="14" t="s">
        <v>230</v>
      </c>
      <c r="H1098" s="2">
        <v>0</v>
      </c>
      <c r="J1098" s="177" t="s">
        <v>2075</v>
      </c>
    </row>
    <row r="1099" spans="2:10" x14ac:dyDescent="0.25">
      <c r="B1099" s="505"/>
      <c r="C1099" s="25" t="s">
        <v>2215</v>
      </c>
      <c r="D1099" s="25" t="s">
        <v>2347</v>
      </c>
      <c r="E1099" s="107">
        <f t="shared" si="82"/>
        <v>1019</v>
      </c>
      <c r="F1099" s="14">
        <f t="shared" si="81"/>
        <v>0</v>
      </c>
      <c r="G1099" s="14" t="s">
        <v>864</v>
      </c>
      <c r="H1099" s="2">
        <v>0</v>
      </c>
      <c r="J1099" s="177" t="s">
        <v>2075</v>
      </c>
    </row>
    <row r="1100" spans="2:10" x14ac:dyDescent="0.25">
      <c r="B1100" s="505" t="str">
        <f>"E "&amp;(RIGHT(B1097,3)+1)</f>
        <v>E 441</v>
      </c>
      <c r="C1100" s="69" t="s">
        <v>2348</v>
      </c>
      <c r="D1100" s="25" t="s">
        <v>2349</v>
      </c>
      <c r="E1100" s="107">
        <f t="shared" si="82"/>
        <v>1020</v>
      </c>
      <c r="F1100" s="14" t="str">
        <f t="shared" si="81"/>
        <v>Tidak Ada</v>
      </c>
      <c r="G1100" s="14" t="s">
        <v>45</v>
      </c>
      <c r="H1100" s="2" t="s">
        <v>64</v>
      </c>
    </row>
    <row r="1101" spans="2:10" x14ac:dyDescent="0.25">
      <c r="B1101" s="505"/>
      <c r="C1101" s="25" t="s">
        <v>2350</v>
      </c>
      <c r="D1101" s="25" t="s">
        <v>2351</v>
      </c>
      <c r="E1101" s="107">
        <f t="shared" si="82"/>
        <v>1021</v>
      </c>
      <c r="F1101" s="14">
        <f t="shared" si="81"/>
        <v>0</v>
      </c>
      <c r="G1101" s="14" t="s">
        <v>230</v>
      </c>
      <c r="H1101" s="2">
        <v>0</v>
      </c>
      <c r="J1101" s="177" t="s">
        <v>2075</v>
      </c>
    </row>
    <row r="1102" spans="2:10" x14ac:dyDescent="0.25">
      <c r="B1102" s="505"/>
      <c r="C1102" s="25" t="s">
        <v>2215</v>
      </c>
      <c r="D1102" s="25" t="s">
        <v>2352</v>
      </c>
      <c r="E1102" s="107">
        <f t="shared" si="82"/>
        <v>1022</v>
      </c>
      <c r="F1102" s="14">
        <f t="shared" ref="F1102:F1135" si="83">H1102</f>
        <v>0</v>
      </c>
      <c r="G1102" s="14" t="s">
        <v>864</v>
      </c>
      <c r="H1102" s="2">
        <v>0</v>
      </c>
      <c r="J1102" s="177" t="s">
        <v>2075</v>
      </c>
    </row>
    <row r="1103" spans="2:10" x14ac:dyDescent="0.25">
      <c r="B1103" s="505" t="str">
        <f>"E "&amp;(RIGHT(B1100,3)+1)</f>
        <v>E 442</v>
      </c>
      <c r="C1103" s="69" t="s">
        <v>2353</v>
      </c>
      <c r="D1103" s="25" t="s">
        <v>2354</v>
      </c>
      <c r="E1103" s="107">
        <f t="shared" ref="E1103:E1135" si="84">E1102+1</f>
        <v>1023</v>
      </c>
      <c r="F1103" s="14" t="str">
        <f t="shared" si="83"/>
        <v>Tidak Ada</v>
      </c>
      <c r="G1103" s="14" t="s">
        <v>45</v>
      </c>
      <c r="H1103" s="2" t="s">
        <v>64</v>
      </c>
    </row>
    <row r="1104" spans="2:10" x14ac:dyDescent="0.25">
      <c r="B1104" s="505"/>
      <c r="C1104" s="25" t="s">
        <v>2355</v>
      </c>
      <c r="D1104" s="25" t="s">
        <v>2356</v>
      </c>
      <c r="E1104" s="107">
        <f t="shared" si="84"/>
        <v>1024</v>
      </c>
      <c r="F1104" s="14">
        <f t="shared" si="83"/>
        <v>0</v>
      </c>
      <c r="G1104" s="14" t="s">
        <v>230</v>
      </c>
      <c r="H1104" s="2">
        <v>0</v>
      </c>
      <c r="J1104" s="177" t="s">
        <v>2075</v>
      </c>
    </row>
    <row r="1105" spans="2:10" x14ac:dyDescent="0.25">
      <c r="B1105" s="505"/>
      <c r="C1105" s="25" t="s">
        <v>2215</v>
      </c>
      <c r="D1105" s="25" t="s">
        <v>2357</v>
      </c>
      <c r="E1105" s="107">
        <f t="shared" si="84"/>
        <v>1025</v>
      </c>
      <c r="F1105" s="14">
        <f t="shared" si="83"/>
        <v>0</v>
      </c>
      <c r="G1105" s="14" t="s">
        <v>864</v>
      </c>
      <c r="H1105" s="2">
        <v>0</v>
      </c>
      <c r="J1105" s="177" t="s">
        <v>2075</v>
      </c>
    </row>
    <row r="1106" spans="2:10" x14ac:dyDescent="0.25">
      <c r="B1106" s="505" t="str">
        <f>"E "&amp;(RIGHT(B1103,3)+1)</f>
        <v>E 443</v>
      </c>
      <c r="C1106" s="69" t="s">
        <v>2358</v>
      </c>
      <c r="D1106" s="25" t="s">
        <v>2359</v>
      </c>
      <c r="E1106" s="107">
        <f t="shared" si="84"/>
        <v>1026</v>
      </c>
      <c r="F1106" s="14" t="str">
        <f t="shared" si="83"/>
        <v>Tidak Ada</v>
      </c>
      <c r="G1106" s="14" t="s">
        <v>45</v>
      </c>
      <c r="H1106" s="2" t="s">
        <v>64</v>
      </c>
    </row>
    <row r="1107" spans="2:10" x14ac:dyDescent="0.25">
      <c r="B1107" s="505"/>
      <c r="C1107" s="25" t="s">
        <v>2360</v>
      </c>
      <c r="D1107" s="25" t="s">
        <v>2361</v>
      </c>
      <c r="E1107" s="107">
        <f t="shared" si="84"/>
        <v>1027</v>
      </c>
      <c r="F1107" s="14">
        <f t="shared" si="83"/>
        <v>0</v>
      </c>
      <c r="G1107" s="14" t="s">
        <v>230</v>
      </c>
      <c r="H1107" s="2">
        <v>0</v>
      </c>
      <c r="J1107" s="177" t="s">
        <v>2075</v>
      </c>
    </row>
    <row r="1108" spans="2:10" x14ac:dyDescent="0.25">
      <c r="B1108" s="505"/>
      <c r="C1108" s="25" t="s">
        <v>2215</v>
      </c>
      <c r="D1108" s="25" t="s">
        <v>2362</v>
      </c>
      <c r="E1108" s="107">
        <f t="shared" si="84"/>
        <v>1028</v>
      </c>
      <c r="F1108" s="14">
        <f t="shared" si="83"/>
        <v>0</v>
      </c>
      <c r="G1108" s="14" t="s">
        <v>864</v>
      </c>
      <c r="H1108" s="2">
        <v>0</v>
      </c>
      <c r="J1108" s="177" t="s">
        <v>2075</v>
      </c>
    </row>
    <row r="1109" spans="2:10" x14ac:dyDescent="0.25">
      <c r="B1109" s="505" t="str">
        <f>"E "&amp;(RIGHT(B1106,3)+1)</f>
        <v>E 444</v>
      </c>
      <c r="C1109" s="69" t="s">
        <v>2363</v>
      </c>
      <c r="D1109" s="25" t="s">
        <v>2364</v>
      </c>
      <c r="E1109" s="107">
        <f t="shared" si="84"/>
        <v>1029</v>
      </c>
      <c r="F1109" s="14" t="str">
        <f t="shared" si="83"/>
        <v>Tidak Ada</v>
      </c>
      <c r="G1109" s="14" t="s">
        <v>45</v>
      </c>
      <c r="H1109" s="2" t="s">
        <v>64</v>
      </c>
    </row>
    <row r="1110" spans="2:10" x14ac:dyDescent="0.25">
      <c r="B1110" s="505"/>
      <c r="C1110" s="25" t="s">
        <v>2365</v>
      </c>
      <c r="D1110" s="25" t="s">
        <v>2366</v>
      </c>
      <c r="E1110" s="107">
        <f t="shared" si="84"/>
        <v>1030</v>
      </c>
      <c r="F1110" s="14">
        <f t="shared" si="83"/>
        <v>0</v>
      </c>
      <c r="G1110" s="14" t="s">
        <v>230</v>
      </c>
      <c r="H1110" s="2">
        <v>0</v>
      </c>
      <c r="J1110" s="177" t="s">
        <v>2075</v>
      </c>
    </row>
    <row r="1111" spans="2:10" x14ac:dyDescent="0.25">
      <c r="B1111" s="505"/>
      <c r="C1111" s="25" t="s">
        <v>2215</v>
      </c>
      <c r="D1111" s="25" t="s">
        <v>2367</v>
      </c>
      <c r="E1111" s="107">
        <f t="shared" si="84"/>
        <v>1031</v>
      </c>
      <c r="F1111" s="14">
        <f t="shared" si="83"/>
        <v>0</v>
      </c>
      <c r="G1111" s="14" t="s">
        <v>864</v>
      </c>
      <c r="H1111" s="2">
        <v>0</v>
      </c>
      <c r="J1111" s="177" t="s">
        <v>2075</v>
      </c>
    </row>
    <row r="1112" spans="2:10" x14ac:dyDescent="0.25">
      <c r="B1112" s="505" t="str">
        <f>"E "&amp;(RIGHT(B1109,3)+1)</f>
        <v>E 445</v>
      </c>
      <c r="C1112" s="69" t="s">
        <v>2368</v>
      </c>
      <c r="D1112" s="25" t="s">
        <v>2369</v>
      </c>
      <c r="E1112" s="107">
        <f t="shared" si="84"/>
        <v>1032</v>
      </c>
      <c r="F1112" s="14" t="str">
        <f t="shared" si="83"/>
        <v>Tidak Ada</v>
      </c>
      <c r="G1112" s="14" t="s">
        <v>45</v>
      </c>
      <c r="H1112" s="2" t="s">
        <v>64</v>
      </c>
    </row>
    <row r="1113" spans="2:10" x14ac:dyDescent="0.25">
      <c r="B1113" s="505"/>
      <c r="C1113" s="25" t="s">
        <v>2370</v>
      </c>
      <c r="D1113" s="25" t="s">
        <v>2371</v>
      </c>
      <c r="E1113" s="107">
        <f t="shared" si="84"/>
        <v>1033</v>
      </c>
      <c r="F1113" s="14">
        <f t="shared" si="83"/>
        <v>0</v>
      </c>
      <c r="G1113" s="14" t="s">
        <v>230</v>
      </c>
      <c r="H1113" s="2">
        <v>0</v>
      </c>
      <c r="J1113" s="177" t="s">
        <v>2075</v>
      </c>
    </row>
    <row r="1114" spans="2:10" x14ac:dyDescent="0.25">
      <c r="B1114" s="505"/>
      <c r="C1114" s="25" t="s">
        <v>2215</v>
      </c>
      <c r="D1114" s="25" t="s">
        <v>2372</v>
      </c>
      <c r="E1114" s="107">
        <f t="shared" si="84"/>
        <v>1034</v>
      </c>
      <c r="F1114" s="14">
        <f t="shared" si="83"/>
        <v>0</v>
      </c>
      <c r="G1114" s="14" t="s">
        <v>864</v>
      </c>
      <c r="H1114" s="2">
        <v>0</v>
      </c>
      <c r="J1114" s="177" t="s">
        <v>2075</v>
      </c>
    </row>
    <row r="1115" spans="2:10" x14ac:dyDescent="0.25">
      <c r="B1115" s="505" t="str">
        <f>"E "&amp;(RIGHT(B1112,3)+1)</f>
        <v>E 446</v>
      </c>
      <c r="C1115" s="69" t="s">
        <v>2373</v>
      </c>
      <c r="D1115" s="25" t="s">
        <v>2374</v>
      </c>
      <c r="E1115" s="107">
        <f t="shared" si="84"/>
        <v>1035</v>
      </c>
      <c r="F1115" s="14" t="str">
        <f t="shared" si="83"/>
        <v>Tidak Ada</v>
      </c>
      <c r="G1115" s="14" t="s">
        <v>45</v>
      </c>
      <c r="H1115" s="2" t="s">
        <v>64</v>
      </c>
    </row>
    <row r="1116" spans="2:10" x14ac:dyDescent="0.25">
      <c r="B1116" s="505"/>
      <c r="C1116" s="25" t="s">
        <v>2375</v>
      </c>
      <c r="D1116" s="25" t="s">
        <v>2376</v>
      </c>
      <c r="E1116" s="107">
        <f t="shared" si="84"/>
        <v>1036</v>
      </c>
      <c r="F1116" s="14">
        <f t="shared" si="83"/>
        <v>0</v>
      </c>
      <c r="G1116" s="14" t="s">
        <v>230</v>
      </c>
      <c r="H1116" s="2">
        <v>0</v>
      </c>
      <c r="J1116" s="177" t="s">
        <v>2075</v>
      </c>
    </row>
    <row r="1117" spans="2:10" x14ac:dyDescent="0.25">
      <c r="B1117" s="505"/>
      <c r="C1117" s="25" t="s">
        <v>2215</v>
      </c>
      <c r="D1117" s="25" t="s">
        <v>2377</v>
      </c>
      <c r="E1117" s="107">
        <f t="shared" si="84"/>
        <v>1037</v>
      </c>
      <c r="F1117" s="14">
        <f t="shared" si="83"/>
        <v>0</v>
      </c>
      <c r="G1117" s="14" t="s">
        <v>864</v>
      </c>
      <c r="H1117" s="2">
        <v>0</v>
      </c>
      <c r="J1117" s="177" t="s">
        <v>2075</v>
      </c>
    </row>
    <row r="1118" spans="2:10" x14ac:dyDescent="0.25">
      <c r="B1118" s="505" t="str">
        <f>"E "&amp;(RIGHT(B1115,3)+1)</f>
        <v>E 447</v>
      </c>
      <c r="C1118" s="69" t="s">
        <v>2378</v>
      </c>
      <c r="D1118" s="25" t="s">
        <v>2379</v>
      </c>
      <c r="E1118" s="107">
        <f t="shared" si="84"/>
        <v>1038</v>
      </c>
      <c r="F1118" s="14" t="str">
        <f t="shared" si="83"/>
        <v>Tidak Ada</v>
      </c>
      <c r="G1118" s="14" t="s">
        <v>45</v>
      </c>
      <c r="H1118" s="2" t="s">
        <v>64</v>
      </c>
    </row>
    <row r="1119" spans="2:10" x14ac:dyDescent="0.25">
      <c r="B1119" s="505"/>
      <c r="C1119" s="25" t="s">
        <v>2380</v>
      </c>
      <c r="D1119" s="25" t="s">
        <v>2381</v>
      </c>
      <c r="E1119" s="107">
        <f t="shared" si="84"/>
        <v>1039</v>
      </c>
      <c r="F1119" s="14">
        <f t="shared" si="83"/>
        <v>0</v>
      </c>
      <c r="G1119" s="14" t="s">
        <v>230</v>
      </c>
      <c r="H1119" s="2">
        <v>0</v>
      </c>
      <c r="J1119" s="177" t="s">
        <v>2075</v>
      </c>
    </row>
    <row r="1120" spans="2:10" x14ac:dyDescent="0.25">
      <c r="B1120" s="505"/>
      <c r="C1120" s="25" t="s">
        <v>2215</v>
      </c>
      <c r="D1120" s="25" t="s">
        <v>2382</v>
      </c>
      <c r="E1120" s="107">
        <f t="shared" si="84"/>
        <v>1040</v>
      </c>
      <c r="F1120" s="14">
        <f t="shared" si="83"/>
        <v>0</v>
      </c>
      <c r="G1120" s="14" t="s">
        <v>864</v>
      </c>
      <c r="H1120" s="2">
        <v>0</v>
      </c>
      <c r="J1120" s="177" t="s">
        <v>2075</v>
      </c>
    </row>
    <row r="1121" spans="2:11" x14ac:dyDescent="0.25">
      <c r="B1121" s="505" t="str">
        <f>"E "&amp;(RIGHT(B1118,3)+1)</f>
        <v>E 448</v>
      </c>
      <c r="C1121" s="69" t="s">
        <v>2383</v>
      </c>
      <c r="D1121" s="25" t="s">
        <v>2384</v>
      </c>
      <c r="E1121" s="107">
        <f t="shared" si="84"/>
        <v>1041</v>
      </c>
      <c r="F1121" s="14" t="str">
        <f t="shared" si="83"/>
        <v>Tidak Ada</v>
      </c>
      <c r="G1121" s="14" t="s">
        <v>45</v>
      </c>
      <c r="H1121" s="2" t="s">
        <v>64</v>
      </c>
    </row>
    <row r="1122" spans="2:11" x14ac:dyDescent="0.25">
      <c r="B1122" s="505"/>
      <c r="C1122" s="25" t="s">
        <v>2385</v>
      </c>
      <c r="D1122" s="25" t="s">
        <v>2386</v>
      </c>
      <c r="E1122" s="107">
        <f t="shared" si="84"/>
        <v>1042</v>
      </c>
      <c r="F1122" s="14">
        <f t="shared" si="83"/>
        <v>0</v>
      </c>
      <c r="G1122" s="14" t="s">
        <v>230</v>
      </c>
      <c r="H1122" s="2">
        <v>0</v>
      </c>
      <c r="J1122" s="177" t="s">
        <v>2075</v>
      </c>
    </row>
    <row r="1123" spans="2:11" x14ac:dyDescent="0.25">
      <c r="B1123" s="505"/>
      <c r="C1123" s="25" t="s">
        <v>2215</v>
      </c>
      <c r="D1123" s="25" t="s">
        <v>2387</v>
      </c>
      <c r="E1123" s="107">
        <f t="shared" si="84"/>
        <v>1043</v>
      </c>
      <c r="F1123" s="14">
        <f t="shared" si="83"/>
        <v>0</v>
      </c>
      <c r="G1123" s="14" t="s">
        <v>864</v>
      </c>
      <c r="H1123" s="2">
        <v>0</v>
      </c>
      <c r="J1123" s="177" t="s">
        <v>2075</v>
      </c>
    </row>
    <row r="1124" spans="2:11" x14ac:dyDescent="0.25">
      <c r="B1124" s="505" t="str">
        <f>"E "&amp;(RIGHT(B1121,3)+1)</f>
        <v>E 449</v>
      </c>
      <c r="C1124" s="69" t="s">
        <v>2388</v>
      </c>
      <c r="D1124" s="25" t="s">
        <v>2389</v>
      </c>
      <c r="E1124" s="107">
        <f t="shared" si="84"/>
        <v>1044</v>
      </c>
      <c r="F1124" s="14" t="str">
        <f t="shared" si="83"/>
        <v>Tidak Ada</v>
      </c>
      <c r="G1124" s="14" t="s">
        <v>45</v>
      </c>
      <c r="H1124" s="2" t="s">
        <v>64</v>
      </c>
    </row>
    <row r="1125" spans="2:11" x14ac:dyDescent="0.25">
      <c r="B1125" s="505"/>
      <c r="C1125" s="25" t="s">
        <v>2390</v>
      </c>
      <c r="D1125" s="25" t="s">
        <v>2391</v>
      </c>
      <c r="E1125" s="107">
        <f t="shared" si="84"/>
        <v>1045</v>
      </c>
      <c r="F1125" s="14">
        <f t="shared" si="83"/>
        <v>0</v>
      </c>
      <c r="G1125" s="14" t="s">
        <v>230</v>
      </c>
      <c r="H1125" s="2">
        <v>0</v>
      </c>
      <c r="J1125" s="177" t="s">
        <v>2075</v>
      </c>
    </row>
    <row r="1126" spans="2:11" x14ac:dyDescent="0.25">
      <c r="B1126" s="505"/>
      <c r="C1126" s="25" t="s">
        <v>2215</v>
      </c>
      <c r="D1126" s="25" t="s">
        <v>2392</v>
      </c>
      <c r="E1126" s="107">
        <f t="shared" si="84"/>
        <v>1046</v>
      </c>
      <c r="F1126" s="14">
        <f t="shared" si="83"/>
        <v>0</v>
      </c>
      <c r="G1126" s="14" t="s">
        <v>864</v>
      </c>
      <c r="H1126" s="2">
        <v>0</v>
      </c>
      <c r="J1126" s="177" t="s">
        <v>2075</v>
      </c>
    </row>
    <row r="1127" spans="2:11" x14ac:dyDescent="0.25">
      <c r="B1127" s="505" t="str">
        <f>"E "&amp;(RIGHT(B1124,3)+1)</f>
        <v>E 450</v>
      </c>
      <c r="C1127" s="69" t="s">
        <v>2393</v>
      </c>
      <c r="D1127" s="25" t="s">
        <v>2394</v>
      </c>
      <c r="E1127" s="107">
        <f t="shared" si="84"/>
        <v>1047</v>
      </c>
      <c r="F1127" s="14" t="str">
        <f t="shared" si="83"/>
        <v>Ada</v>
      </c>
      <c r="G1127" s="14" t="s">
        <v>45</v>
      </c>
      <c r="H1127" s="2" t="s">
        <v>148</v>
      </c>
    </row>
    <row r="1128" spans="2:11" x14ac:dyDescent="0.25">
      <c r="B1128" s="505"/>
      <c r="C1128" s="25" t="s">
        <v>2395</v>
      </c>
      <c r="D1128" s="25" t="s">
        <v>2396</v>
      </c>
      <c r="E1128" s="107">
        <f t="shared" si="84"/>
        <v>1048</v>
      </c>
      <c r="F1128" s="14">
        <f t="shared" si="83"/>
        <v>0.06</v>
      </c>
      <c r="G1128" s="14" t="s">
        <v>230</v>
      </c>
      <c r="H1128" s="2">
        <v>0.06</v>
      </c>
      <c r="J1128" s="177" t="s">
        <v>2075</v>
      </c>
    </row>
    <row r="1129" spans="2:11" x14ac:dyDescent="0.25">
      <c r="B1129" s="505"/>
      <c r="C1129" s="25" t="s">
        <v>2215</v>
      </c>
      <c r="D1129" s="25" t="s">
        <v>2397</v>
      </c>
      <c r="E1129" s="107">
        <f t="shared" si="84"/>
        <v>1049</v>
      </c>
      <c r="F1129" s="14">
        <f t="shared" si="83"/>
        <v>0.35</v>
      </c>
      <c r="G1129" s="14" t="s">
        <v>864</v>
      </c>
      <c r="H1129" s="2">
        <v>0.35</v>
      </c>
      <c r="J1129" s="177" t="s">
        <v>2075</v>
      </c>
    </row>
    <row r="1130" spans="2:11" x14ac:dyDescent="0.25">
      <c r="B1130" s="505" t="str">
        <f>"E "&amp;(RIGHT(B1127,3)+1)</f>
        <v>E 451</v>
      </c>
      <c r="C1130" s="69" t="s">
        <v>2398</v>
      </c>
      <c r="D1130" s="25" t="s">
        <v>2399</v>
      </c>
      <c r="E1130" s="107">
        <f t="shared" si="84"/>
        <v>1050</v>
      </c>
      <c r="F1130" s="14" t="str">
        <f t="shared" si="83"/>
        <v>Tidak Ada</v>
      </c>
      <c r="G1130" s="14" t="s">
        <v>45</v>
      </c>
      <c r="H1130" s="2" t="s">
        <v>64</v>
      </c>
    </row>
    <row r="1131" spans="2:11" x14ac:dyDescent="0.25">
      <c r="B1131" s="505"/>
      <c r="C1131" s="25" t="s">
        <v>2400</v>
      </c>
      <c r="D1131" s="25" t="s">
        <v>2401</v>
      </c>
      <c r="E1131" s="107">
        <f t="shared" si="84"/>
        <v>1051</v>
      </c>
      <c r="F1131" s="14">
        <f t="shared" si="83"/>
        <v>0</v>
      </c>
      <c r="G1131" s="14" t="s">
        <v>230</v>
      </c>
      <c r="H1131" s="2">
        <v>0</v>
      </c>
      <c r="J1131" s="177" t="s">
        <v>2075</v>
      </c>
    </row>
    <row r="1132" spans="2:11" x14ac:dyDescent="0.25">
      <c r="B1132" s="505"/>
      <c r="C1132" s="25" t="s">
        <v>2215</v>
      </c>
      <c r="D1132" s="25" t="s">
        <v>2402</v>
      </c>
      <c r="E1132" s="107">
        <f t="shared" si="84"/>
        <v>1052</v>
      </c>
      <c r="F1132" s="14">
        <f t="shared" si="83"/>
        <v>0</v>
      </c>
      <c r="G1132" s="14" t="s">
        <v>864</v>
      </c>
      <c r="H1132" s="2">
        <v>0</v>
      </c>
      <c r="J1132" s="177" t="s">
        <v>2075</v>
      </c>
    </row>
    <row r="1133" spans="2:11" x14ac:dyDescent="0.25">
      <c r="B1133" s="505" t="str">
        <f>"E "&amp;(RIGHT(B1130,3)+1)</f>
        <v>E 452</v>
      </c>
      <c r="C1133" s="69" t="s">
        <v>2403</v>
      </c>
      <c r="D1133" s="25" t="s">
        <v>2404</v>
      </c>
      <c r="E1133" s="107">
        <f t="shared" si="84"/>
        <v>1053</v>
      </c>
      <c r="F1133" s="14" t="str">
        <f t="shared" si="83"/>
        <v>Tidak Ada</v>
      </c>
      <c r="G1133" s="14" t="s">
        <v>33</v>
      </c>
      <c r="H1133" s="2" t="s">
        <v>64</v>
      </c>
    </row>
    <row r="1134" spans="2:11" x14ac:dyDescent="0.25">
      <c r="B1134" s="505"/>
      <c r="C1134" s="25" t="s">
        <v>2405</v>
      </c>
      <c r="D1134" s="25" t="s">
        <v>2406</v>
      </c>
      <c r="E1134" s="107">
        <f t="shared" si="84"/>
        <v>1054</v>
      </c>
      <c r="F1134" s="14">
        <f t="shared" si="83"/>
        <v>0</v>
      </c>
      <c r="G1134" s="14" t="s">
        <v>230</v>
      </c>
      <c r="H1134" s="2">
        <v>0</v>
      </c>
      <c r="J1134" s="177" t="s">
        <v>2075</v>
      </c>
    </row>
    <row r="1135" spans="2:11" x14ac:dyDescent="0.25">
      <c r="B1135" s="505"/>
      <c r="C1135" s="25" t="s">
        <v>2215</v>
      </c>
      <c r="D1135" s="25" t="s">
        <v>2407</v>
      </c>
      <c r="E1135" s="107">
        <f t="shared" si="84"/>
        <v>1055</v>
      </c>
      <c r="F1135" s="14">
        <f t="shared" si="83"/>
        <v>0</v>
      </c>
      <c r="G1135" s="14" t="s">
        <v>864</v>
      </c>
      <c r="H1135" s="2">
        <v>0</v>
      </c>
      <c r="J1135" s="177" t="s">
        <v>2075</v>
      </c>
    </row>
    <row r="1136" spans="2:11" x14ac:dyDescent="0.25">
      <c r="B1136" s="258"/>
      <c r="C1136" s="69" t="s">
        <v>2408</v>
      </c>
      <c r="D1136" s="25"/>
      <c r="E1136" s="133"/>
      <c r="F1136" s="14"/>
      <c r="G1136" s="14"/>
      <c r="K1136" s="389" t="s">
        <v>47</v>
      </c>
    </row>
    <row r="1137" spans="2:11" x14ac:dyDescent="0.25">
      <c r="B1137" s="505" t="str">
        <f>"E "&amp;(RIGHT(B1133,3)+1)</f>
        <v>E 453</v>
      </c>
      <c r="C1137" s="69" t="s">
        <v>2409</v>
      </c>
      <c r="D1137" s="25" t="s">
        <v>2410</v>
      </c>
      <c r="E1137" s="107">
        <f>E1135+1</f>
        <v>1056</v>
      </c>
      <c r="F1137" s="14" t="str">
        <f t="shared" ref="F1137:F1168" si="85">H1137</f>
        <v>Tidak Ada</v>
      </c>
      <c r="G1137" s="14" t="s">
        <v>45</v>
      </c>
      <c r="H1137" s="2" t="s">
        <v>64</v>
      </c>
      <c r="K1137" s="389" t="s">
        <v>2411</v>
      </c>
    </row>
    <row r="1138" spans="2:11" x14ac:dyDescent="0.25">
      <c r="B1138" s="505"/>
      <c r="C1138" s="25" t="s">
        <v>2412</v>
      </c>
      <c r="D1138" s="25" t="s">
        <v>2413</v>
      </c>
      <c r="E1138" s="107">
        <f t="shared" ref="E1138:E1169" si="86">E1137+1</f>
        <v>1057</v>
      </c>
      <c r="F1138" s="14">
        <f t="shared" si="85"/>
        <v>0</v>
      </c>
      <c r="G1138" s="14" t="s">
        <v>230</v>
      </c>
      <c r="H1138" s="2">
        <v>0</v>
      </c>
      <c r="J1138" s="177" t="s">
        <v>2075</v>
      </c>
      <c r="K1138" s="389" t="s">
        <v>2414</v>
      </c>
    </row>
    <row r="1139" spans="2:11" x14ac:dyDescent="0.25">
      <c r="B1139" s="505"/>
      <c r="C1139" s="25" t="s">
        <v>2215</v>
      </c>
      <c r="D1139" s="25" t="s">
        <v>2415</v>
      </c>
      <c r="E1139" s="107">
        <f t="shared" si="86"/>
        <v>1058</v>
      </c>
      <c r="F1139" s="14">
        <f t="shared" si="85"/>
        <v>0</v>
      </c>
      <c r="G1139" s="14" t="s">
        <v>864</v>
      </c>
      <c r="H1139" s="2">
        <v>0</v>
      </c>
      <c r="J1139" s="177" t="s">
        <v>2075</v>
      </c>
      <c r="K1139" s="389" t="s">
        <v>2416</v>
      </c>
    </row>
    <row r="1140" spans="2:11" x14ac:dyDescent="0.25">
      <c r="B1140" s="505" t="str">
        <f>"E "&amp;(RIGHT(B1137,3)+1)</f>
        <v>E 454</v>
      </c>
      <c r="C1140" s="69" t="s">
        <v>2417</v>
      </c>
      <c r="D1140" s="25" t="s">
        <v>2418</v>
      </c>
      <c r="E1140" s="107">
        <f t="shared" si="86"/>
        <v>1059</v>
      </c>
      <c r="F1140" s="14" t="str">
        <f t="shared" si="85"/>
        <v>Tidak Ada</v>
      </c>
      <c r="G1140" s="14" t="s">
        <v>45</v>
      </c>
      <c r="H1140" s="2" t="s">
        <v>64</v>
      </c>
      <c r="K1140" s="389" t="s">
        <v>2419</v>
      </c>
    </row>
    <row r="1141" spans="2:11" x14ac:dyDescent="0.25">
      <c r="B1141" s="505"/>
      <c r="C1141" s="25" t="s">
        <v>2420</v>
      </c>
      <c r="D1141" s="25" t="s">
        <v>2421</v>
      </c>
      <c r="E1141" s="107">
        <f t="shared" si="86"/>
        <v>1060</v>
      </c>
      <c r="F1141" s="14">
        <f t="shared" si="85"/>
        <v>0</v>
      </c>
      <c r="G1141" s="14" t="s">
        <v>230</v>
      </c>
      <c r="H1141" s="2">
        <v>0</v>
      </c>
      <c r="J1141" s="177" t="s">
        <v>2075</v>
      </c>
      <c r="K1141" s="389" t="s">
        <v>2422</v>
      </c>
    </row>
    <row r="1142" spans="2:11" x14ac:dyDescent="0.25">
      <c r="B1142" s="505"/>
      <c r="C1142" s="25" t="s">
        <v>2215</v>
      </c>
      <c r="D1142" s="25" t="s">
        <v>2423</v>
      </c>
      <c r="E1142" s="107">
        <f t="shared" si="86"/>
        <v>1061</v>
      </c>
      <c r="F1142" s="14">
        <f t="shared" si="85"/>
        <v>0</v>
      </c>
      <c r="G1142" s="14" t="s">
        <v>864</v>
      </c>
      <c r="H1142" s="2">
        <v>0</v>
      </c>
      <c r="J1142" s="177" t="s">
        <v>2075</v>
      </c>
      <c r="K1142" s="389" t="s">
        <v>2424</v>
      </c>
    </row>
    <row r="1143" spans="2:11" x14ac:dyDescent="0.25">
      <c r="B1143" s="505" t="str">
        <f>"E "&amp;(RIGHT(B1140,3)+1)</f>
        <v>E 455</v>
      </c>
      <c r="C1143" s="69" t="s">
        <v>2425</v>
      </c>
      <c r="D1143" s="25" t="s">
        <v>2426</v>
      </c>
      <c r="E1143" s="107">
        <f t="shared" si="86"/>
        <v>1062</v>
      </c>
      <c r="F1143" s="14" t="str">
        <f t="shared" si="85"/>
        <v>Tidak Ada</v>
      </c>
      <c r="G1143" s="14" t="s">
        <v>45</v>
      </c>
      <c r="H1143" s="2" t="s">
        <v>64</v>
      </c>
      <c r="K1143" s="389" t="s">
        <v>2427</v>
      </c>
    </row>
    <row r="1144" spans="2:11" x14ac:dyDescent="0.25">
      <c r="B1144" s="505"/>
      <c r="C1144" s="25" t="s">
        <v>2428</v>
      </c>
      <c r="D1144" s="25" t="s">
        <v>2429</v>
      </c>
      <c r="E1144" s="107">
        <f t="shared" si="86"/>
        <v>1063</v>
      </c>
      <c r="F1144" s="14">
        <f t="shared" si="85"/>
        <v>0</v>
      </c>
      <c r="G1144" s="14" t="s">
        <v>230</v>
      </c>
      <c r="H1144" s="2">
        <v>0</v>
      </c>
      <c r="J1144" s="177" t="s">
        <v>2075</v>
      </c>
      <c r="K1144" s="389" t="s">
        <v>2430</v>
      </c>
    </row>
    <row r="1145" spans="2:11" x14ac:dyDescent="0.25">
      <c r="B1145" s="505"/>
      <c r="C1145" s="25" t="s">
        <v>2215</v>
      </c>
      <c r="D1145" s="25" t="s">
        <v>2431</v>
      </c>
      <c r="E1145" s="107">
        <f t="shared" si="86"/>
        <v>1064</v>
      </c>
      <c r="F1145" s="14">
        <f t="shared" si="85"/>
        <v>0</v>
      </c>
      <c r="G1145" s="14" t="s">
        <v>864</v>
      </c>
      <c r="H1145" s="2">
        <v>0</v>
      </c>
      <c r="J1145" s="177" t="s">
        <v>2075</v>
      </c>
      <c r="K1145" s="389" t="s">
        <v>2432</v>
      </c>
    </row>
    <row r="1146" spans="2:11" x14ac:dyDescent="0.25">
      <c r="B1146" s="505" t="str">
        <f>"E "&amp;(RIGHT(B1143,3)+1)</f>
        <v>E 456</v>
      </c>
      <c r="C1146" s="69" t="s">
        <v>2433</v>
      </c>
      <c r="D1146" s="25" t="s">
        <v>2434</v>
      </c>
      <c r="E1146" s="107">
        <f t="shared" si="86"/>
        <v>1065</v>
      </c>
      <c r="F1146" s="14" t="str">
        <f t="shared" si="85"/>
        <v>Tidak Ada</v>
      </c>
      <c r="G1146" s="14" t="s">
        <v>45</v>
      </c>
      <c r="H1146" s="2" t="s">
        <v>64</v>
      </c>
      <c r="K1146" s="389" t="s">
        <v>2435</v>
      </c>
    </row>
    <row r="1147" spans="2:11" x14ac:dyDescent="0.25">
      <c r="B1147" s="505"/>
      <c r="C1147" s="25" t="s">
        <v>2436</v>
      </c>
      <c r="D1147" s="25" t="s">
        <v>2437</v>
      </c>
      <c r="E1147" s="107">
        <f t="shared" si="86"/>
        <v>1066</v>
      </c>
      <c r="F1147" s="14">
        <f t="shared" si="85"/>
        <v>0</v>
      </c>
      <c r="G1147" s="14" t="s">
        <v>230</v>
      </c>
      <c r="H1147" s="2">
        <v>0</v>
      </c>
      <c r="J1147" s="177" t="s">
        <v>2075</v>
      </c>
      <c r="K1147" s="389" t="s">
        <v>2438</v>
      </c>
    </row>
    <row r="1148" spans="2:11" x14ac:dyDescent="0.25">
      <c r="B1148" s="505"/>
      <c r="C1148" s="25" t="s">
        <v>2215</v>
      </c>
      <c r="D1148" s="25" t="s">
        <v>2439</v>
      </c>
      <c r="E1148" s="107">
        <f t="shared" si="86"/>
        <v>1067</v>
      </c>
      <c r="F1148" s="14">
        <f t="shared" si="85"/>
        <v>0</v>
      </c>
      <c r="G1148" s="14" t="s">
        <v>864</v>
      </c>
      <c r="H1148" s="2">
        <v>0</v>
      </c>
      <c r="J1148" s="177" t="s">
        <v>2075</v>
      </c>
      <c r="K1148" s="389" t="s">
        <v>2440</v>
      </c>
    </row>
    <row r="1149" spans="2:11" x14ac:dyDescent="0.25">
      <c r="B1149" s="505" t="str">
        <f>"E "&amp;(RIGHT(B1146,3)+1)</f>
        <v>E 457</v>
      </c>
      <c r="C1149" s="69" t="s">
        <v>2441</v>
      </c>
      <c r="D1149" s="25" t="s">
        <v>2442</v>
      </c>
      <c r="E1149" s="107">
        <f t="shared" si="86"/>
        <v>1068</v>
      </c>
      <c r="F1149" s="14" t="str">
        <f t="shared" si="85"/>
        <v>Ada</v>
      </c>
      <c r="G1149" s="14" t="s">
        <v>45</v>
      </c>
      <c r="H1149" s="2" t="s">
        <v>148</v>
      </c>
      <c r="K1149" s="389" t="s">
        <v>2443</v>
      </c>
    </row>
    <row r="1150" spans="2:11" x14ac:dyDescent="0.25">
      <c r="B1150" s="505"/>
      <c r="C1150" s="25" t="s">
        <v>2444</v>
      </c>
      <c r="D1150" s="25" t="s">
        <v>2445</v>
      </c>
      <c r="E1150" s="107">
        <f t="shared" si="86"/>
        <v>1069</v>
      </c>
      <c r="F1150" s="14">
        <f t="shared" si="85"/>
        <v>15</v>
      </c>
      <c r="G1150" s="14" t="s">
        <v>230</v>
      </c>
      <c r="H1150" s="2">
        <v>15</v>
      </c>
      <c r="J1150" s="177" t="s">
        <v>2075</v>
      </c>
      <c r="K1150" s="389" t="s">
        <v>2446</v>
      </c>
    </row>
    <row r="1151" spans="2:11" x14ac:dyDescent="0.25">
      <c r="B1151" s="505"/>
      <c r="C1151" s="25" t="s">
        <v>2215</v>
      </c>
      <c r="D1151" s="25" t="s">
        <v>2447</v>
      </c>
      <c r="E1151" s="107">
        <f t="shared" si="86"/>
        <v>1070</v>
      </c>
      <c r="F1151" s="14">
        <f t="shared" si="85"/>
        <v>15</v>
      </c>
      <c r="G1151" s="14" t="s">
        <v>864</v>
      </c>
      <c r="H1151" s="2">
        <v>15</v>
      </c>
      <c r="J1151" s="177" t="s">
        <v>2075</v>
      </c>
      <c r="K1151" s="389" t="s">
        <v>2448</v>
      </c>
    </row>
    <row r="1152" spans="2:11" x14ac:dyDescent="0.25">
      <c r="B1152" s="505" t="str">
        <f>"E "&amp;(RIGHT(B1149,3)+1)</f>
        <v>E 458</v>
      </c>
      <c r="C1152" s="69" t="s">
        <v>2449</v>
      </c>
      <c r="D1152" s="25" t="s">
        <v>2450</v>
      </c>
      <c r="E1152" s="107">
        <f t="shared" si="86"/>
        <v>1071</v>
      </c>
      <c r="F1152" s="14" t="str">
        <f t="shared" si="85"/>
        <v>Tidak Ada</v>
      </c>
      <c r="G1152" s="14" t="s">
        <v>45</v>
      </c>
      <c r="H1152" s="2" t="s">
        <v>64</v>
      </c>
      <c r="K1152" s="389" t="s">
        <v>2451</v>
      </c>
    </row>
    <row r="1153" spans="2:11" x14ac:dyDescent="0.25">
      <c r="B1153" s="505"/>
      <c r="C1153" s="25" t="s">
        <v>2452</v>
      </c>
      <c r="D1153" s="25" t="s">
        <v>2453</v>
      </c>
      <c r="E1153" s="107">
        <f t="shared" si="86"/>
        <v>1072</v>
      </c>
      <c r="F1153" s="14">
        <f t="shared" si="85"/>
        <v>0</v>
      </c>
      <c r="G1153" s="14" t="s">
        <v>230</v>
      </c>
      <c r="H1153" s="2">
        <v>0</v>
      </c>
      <c r="J1153" s="177" t="s">
        <v>2075</v>
      </c>
      <c r="K1153" s="389" t="s">
        <v>2454</v>
      </c>
    </row>
    <row r="1154" spans="2:11" x14ac:dyDescent="0.25">
      <c r="B1154" s="505"/>
      <c r="C1154" s="25" t="s">
        <v>2215</v>
      </c>
      <c r="D1154" s="25" t="s">
        <v>2455</v>
      </c>
      <c r="E1154" s="107">
        <f t="shared" si="86"/>
        <v>1073</v>
      </c>
      <c r="F1154" s="14">
        <f t="shared" si="85"/>
        <v>0</v>
      </c>
      <c r="G1154" s="14" t="s">
        <v>864</v>
      </c>
      <c r="H1154" s="2">
        <v>0</v>
      </c>
      <c r="J1154" s="177" t="s">
        <v>2075</v>
      </c>
      <c r="K1154" s="389" t="str">
        <f>"Cabai Lokal ("&amp;$H$1185&amp;")"</f>
        <v>Cabai Lokal (Ada)</v>
      </c>
    </row>
    <row r="1155" spans="2:11" x14ac:dyDescent="0.25">
      <c r="B1155" s="505" t="str">
        <f>"E "&amp;(RIGHT(B1152,3)+1)</f>
        <v>E 459</v>
      </c>
      <c r="C1155" s="69" t="s">
        <v>2456</v>
      </c>
      <c r="D1155" s="25" t="s">
        <v>2457</v>
      </c>
      <c r="E1155" s="107">
        <f t="shared" si="86"/>
        <v>1074</v>
      </c>
      <c r="F1155" s="14" t="str">
        <f t="shared" si="85"/>
        <v>Tidak Ada</v>
      </c>
      <c r="G1155" s="14" t="s">
        <v>45</v>
      </c>
      <c r="H1155" s="2" t="s">
        <v>64</v>
      </c>
      <c r="K1155" s="389" t="s">
        <v>2458</v>
      </c>
    </row>
    <row r="1156" spans="2:11" x14ac:dyDescent="0.25">
      <c r="B1156" s="505"/>
      <c r="C1156" s="25" t="s">
        <v>2459</v>
      </c>
      <c r="D1156" s="25" t="s">
        <v>2460</v>
      </c>
      <c r="E1156" s="107">
        <f t="shared" si="86"/>
        <v>1075</v>
      </c>
      <c r="F1156" s="14">
        <f t="shared" si="85"/>
        <v>0</v>
      </c>
      <c r="G1156" s="14" t="s">
        <v>230</v>
      </c>
      <c r="H1156" s="2">
        <v>0</v>
      </c>
      <c r="J1156" s="177" t="s">
        <v>2075</v>
      </c>
      <c r="K1156" s="389" t="s">
        <v>2461</v>
      </c>
    </row>
    <row r="1157" spans="2:11" x14ac:dyDescent="0.25">
      <c r="B1157" s="505"/>
      <c r="C1157" s="25" t="s">
        <v>2215</v>
      </c>
      <c r="D1157" s="25" t="s">
        <v>2462</v>
      </c>
      <c r="E1157" s="107">
        <f t="shared" si="86"/>
        <v>1076</v>
      </c>
      <c r="F1157" s="14">
        <f t="shared" si="85"/>
        <v>0</v>
      </c>
      <c r="G1157" s="14" t="s">
        <v>864</v>
      </c>
      <c r="H1157" s="2">
        <v>0</v>
      </c>
      <c r="J1157" s="177" t="s">
        <v>2075</v>
      </c>
      <c r="K1157" s="389" t="s">
        <v>2463</v>
      </c>
    </row>
    <row r="1158" spans="2:11" x14ac:dyDescent="0.25">
      <c r="B1158" s="505" t="str">
        <f>"E "&amp;(RIGHT(B1155,3)+1)</f>
        <v>E 460</v>
      </c>
      <c r="C1158" s="69" t="s">
        <v>2464</v>
      </c>
      <c r="D1158" s="25" t="s">
        <v>2465</v>
      </c>
      <c r="E1158" s="107">
        <f t="shared" si="86"/>
        <v>1077</v>
      </c>
      <c r="F1158" s="14" t="str">
        <f t="shared" si="85"/>
        <v>Tidak Ada</v>
      </c>
      <c r="G1158" s="14" t="s">
        <v>45</v>
      </c>
      <c r="H1158" s="2" t="s">
        <v>64</v>
      </c>
      <c r="K1158" s="389" t="s">
        <v>2466</v>
      </c>
    </row>
    <row r="1159" spans="2:11" x14ac:dyDescent="0.25">
      <c r="B1159" s="505"/>
      <c r="C1159" s="25" t="s">
        <v>2467</v>
      </c>
      <c r="D1159" s="25" t="s">
        <v>2468</v>
      </c>
      <c r="E1159" s="107">
        <f t="shared" si="86"/>
        <v>1078</v>
      </c>
      <c r="F1159" s="14">
        <f t="shared" si="85"/>
        <v>0</v>
      </c>
      <c r="G1159" s="14" t="s">
        <v>230</v>
      </c>
      <c r="H1159" s="2">
        <v>0</v>
      </c>
      <c r="J1159" s="177" t="s">
        <v>2075</v>
      </c>
      <c r="K1159" s="389" t="str">
        <f>"Lainnya ("&amp;$H$1200&amp;")"</f>
        <v>Lainnya (0.4)</v>
      </c>
    </row>
    <row r="1160" spans="2:11" x14ac:dyDescent="0.25">
      <c r="B1160" s="505"/>
      <c r="C1160" s="25" t="s">
        <v>2215</v>
      </c>
      <c r="D1160" s="25" t="s">
        <v>2469</v>
      </c>
      <c r="E1160" s="107">
        <f t="shared" si="86"/>
        <v>1079</v>
      </c>
      <c r="F1160" s="14">
        <f t="shared" si="85"/>
        <v>0</v>
      </c>
      <c r="G1160" s="14" t="s">
        <v>864</v>
      </c>
      <c r="H1160" s="2">
        <v>0</v>
      </c>
      <c r="J1160" s="177" t="s">
        <v>2075</v>
      </c>
    </row>
    <row r="1161" spans="2:11" x14ac:dyDescent="0.25">
      <c r="B1161" s="505" t="str">
        <f>"E "&amp;(RIGHT(B1158,3)+1)</f>
        <v>E 461</v>
      </c>
      <c r="C1161" s="69" t="s">
        <v>2470</v>
      </c>
      <c r="D1161" s="25" t="s">
        <v>2471</v>
      </c>
      <c r="E1161" s="107">
        <f t="shared" si="86"/>
        <v>1080</v>
      </c>
      <c r="F1161" s="14" t="str">
        <f t="shared" si="85"/>
        <v>Tidak Ada</v>
      </c>
      <c r="G1161" s="14" t="s">
        <v>45</v>
      </c>
      <c r="H1161" s="2" t="s">
        <v>64</v>
      </c>
    </row>
    <row r="1162" spans="2:11" x14ac:dyDescent="0.25">
      <c r="B1162" s="505"/>
      <c r="C1162" s="25" t="s">
        <v>2472</v>
      </c>
      <c r="D1162" s="25" t="s">
        <v>2473</v>
      </c>
      <c r="E1162" s="107">
        <f t="shared" si="86"/>
        <v>1081</v>
      </c>
      <c r="F1162" s="14">
        <f t="shared" si="85"/>
        <v>0</v>
      </c>
      <c r="G1162" s="14" t="s">
        <v>230</v>
      </c>
      <c r="H1162" s="2">
        <v>0</v>
      </c>
      <c r="J1162" s="177" t="s">
        <v>2075</v>
      </c>
    </row>
    <row r="1163" spans="2:11" x14ac:dyDescent="0.25">
      <c r="B1163" s="505"/>
      <c r="C1163" s="25" t="s">
        <v>2215</v>
      </c>
      <c r="D1163" s="25" t="s">
        <v>2474</v>
      </c>
      <c r="E1163" s="107">
        <f t="shared" si="86"/>
        <v>1082</v>
      </c>
      <c r="F1163" s="14">
        <f t="shared" si="85"/>
        <v>0</v>
      </c>
      <c r="G1163" s="14" t="s">
        <v>864</v>
      </c>
      <c r="H1163" s="2">
        <v>0</v>
      </c>
      <c r="J1163" s="177" t="s">
        <v>2075</v>
      </c>
    </row>
    <row r="1164" spans="2:11" x14ac:dyDescent="0.25">
      <c r="B1164" s="505" t="str">
        <f>"E "&amp;(RIGHT(B1161,3)+1)</f>
        <v>E 462</v>
      </c>
      <c r="C1164" s="69" t="s">
        <v>2475</v>
      </c>
      <c r="D1164" s="25" t="s">
        <v>2476</v>
      </c>
      <c r="E1164" s="107">
        <f t="shared" si="86"/>
        <v>1083</v>
      </c>
      <c r="F1164" s="14" t="str">
        <f t="shared" si="85"/>
        <v>Tidak Ada</v>
      </c>
      <c r="G1164" s="14" t="s">
        <v>45</v>
      </c>
      <c r="H1164" s="2" t="s">
        <v>64</v>
      </c>
    </row>
    <row r="1165" spans="2:11" x14ac:dyDescent="0.25">
      <c r="B1165" s="505"/>
      <c r="C1165" s="25" t="s">
        <v>2477</v>
      </c>
      <c r="D1165" s="25" t="s">
        <v>2478</v>
      </c>
      <c r="E1165" s="107">
        <f t="shared" si="86"/>
        <v>1084</v>
      </c>
      <c r="F1165" s="14">
        <f t="shared" si="85"/>
        <v>0</v>
      </c>
      <c r="G1165" s="14" t="s">
        <v>230</v>
      </c>
      <c r="H1165" s="2">
        <v>0</v>
      </c>
      <c r="J1165" s="177" t="s">
        <v>2075</v>
      </c>
    </row>
    <row r="1166" spans="2:11" x14ac:dyDescent="0.25">
      <c r="B1166" s="505"/>
      <c r="C1166" s="25" t="s">
        <v>2215</v>
      </c>
      <c r="D1166" s="25" t="s">
        <v>2479</v>
      </c>
      <c r="E1166" s="107">
        <f t="shared" si="86"/>
        <v>1085</v>
      </c>
      <c r="F1166" s="14">
        <f t="shared" si="85"/>
        <v>0</v>
      </c>
      <c r="G1166" s="14" t="s">
        <v>864</v>
      </c>
      <c r="H1166" s="2">
        <v>0</v>
      </c>
      <c r="J1166" s="177" t="s">
        <v>2075</v>
      </c>
    </row>
    <row r="1167" spans="2:11" x14ac:dyDescent="0.25">
      <c r="B1167" s="505" t="str">
        <f>"E "&amp;(RIGHT(B1164,3)+1)</f>
        <v>E 463</v>
      </c>
      <c r="C1167" s="69" t="s">
        <v>2480</v>
      </c>
      <c r="D1167" s="25" t="s">
        <v>2481</v>
      </c>
      <c r="E1167" s="107">
        <f t="shared" si="86"/>
        <v>1086</v>
      </c>
      <c r="F1167" s="14" t="str">
        <f t="shared" si="85"/>
        <v>Tidak Ada</v>
      </c>
      <c r="G1167" s="14" t="s">
        <v>45</v>
      </c>
      <c r="H1167" s="2" t="s">
        <v>64</v>
      </c>
    </row>
    <row r="1168" spans="2:11" x14ac:dyDescent="0.25">
      <c r="B1168" s="505"/>
      <c r="C1168" s="25" t="s">
        <v>2482</v>
      </c>
      <c r="D1168" s="25" t="s">
        <v>2483</v>
      </c>
      <c r="E1168" s="107">
        <f t="shared" si="86"/>
        <v>1087</v>
      </c>
      <c r="F1168" s="14">
        <f t="shared" si="85"/>
        <v>0</v>
      </c>
      <c r="G1168" s="14" t="s">
        <v>230</v>
      </c>
      <c r="H1168" s="2">
        <v>0</v>
      </c>
      <c r="J1168" s="177" t="s">
        <v>2075</v>
      </c>
    </row>
    <row r="1169" spans="2:10" x14ac:dyDescent="0.25">
      <c r="B1169" s="505"/>
      <c r="C1169" s="25" t="s">
        <v>2215</v>
      </c>
      <c r="D1169" s="25" t="s">
        <v>2484</v>
      </c>
      <c r="E1169" s="107">
        <f t="shared" si="86"/>
        <v>1088</v>
      </c>
      <c r="F1169" s="14">
        <f t="shared" ref="F1169:F1200" si="87">H1169</f>
        <v>0</v>
      </c>
      <c r="G1169" s="14" t="s">
        <v>864</v>
      </c>
      <c r="H1169" s="2">
        <v>0</v>
      </c>
      <c r="J1169" s="177" t="s">
        <v>2075</v>
      </c>
    </row>
    <row r="1170" spans="2:10" x14ac:dyDescent="0.25">
      <c r="B1170" s="505" t="str">
        <f>"E "&amp;(RIGHT(B1167,3)+1)</f>
        <v>E 464</v>
      </c>
      <c r="C1170" s="69" t="s">
        <v>2485</v>
      </c>
      <c r="D1170" s="25" t="s">
        <v>2486</v>
      </c>
      <c r="E1170" s="107">
        <f t="shared" ref="E1170:E1206" si="88">E1169+1</f>
        <v>1089</v>
      </c>
      <c r="F1170" s="14" t="str">
        <f t="shared" si="87"/>
        <v>Tidak Ada</v>
      </c>
      <c r="G1170" s="14" t="s">
        <v>45</v>
      </c>
      <c r="H1170" s="2" t="s">
        <v>64</v>
      </c>
    </row>
    <row r="1171" spans="2:10" x14ac:dyDescent="0.25">
      <c r="B1171" s="505"/>
      <c r="C1171" s="25" t="s">
        <v>2487</v>
      </c>
      <c r="D1171" s="25" t="s">
        <v>2488</v>
      </c>
      <c r="E1171" s="107">
        <f t="shared" si="88"/>
        <v>1090</v>
      </c>
      <c r="F1171" s="14">
        <f t="shared" si="87"/>
        <v>0</v>
      </c>
      <c r="G1171" s="14" t="s">
        <v>230</v>
      </c>
      <c r="H1171" s="2">
        <v>0</v>
      </c>
      <c r="J1171" s="177" t="s">
        <v>2075</v>
      </c>
    </row>
    <row r="1172" spans="2:10" x14ac:dyDescent="0.25">
      <c r="B1172" s="505"/>
      <c r="C1172" s="25" t="s">
        <v>2215</v>
      </c>
      <c r="D1172" s="25" t="s">
        <v>2489</v>
      </c>
      <c r="E1172" s="107">
        <f t="shared" si="88"/>
        <v>1091</v>
      </c>
      <c r="F1172" s="14">
        <f t="shared" si="87"/>
        <v>0</v>
      </c>
      <c r="G1172" s="14" t="s">
        <v>864</v>
      </c>
      <c r="H1172" s="2">
        <v>0</v>
      </c>
      <c r="J1172" s="177" t="s">
        <v>2075</v>
      </c>
    </row>
    <row r="1173" spans="2:10" x14ac:dyDescent="0.25">
      <c r="B1173" s="505" t="str">
        <f>"E "&amp;(RIGHT(B1170,3)+1)</f>
        <v>E 465</v>
      </c>
      <c r="C1173" s="69" t="s">
        <v>2490</v>
      </c>
      <c r="D1173" s="25" t="s">
        <v>2491</v>
      </c>
      <c r="E1173" s="107">
        <f t="shared" si="88"/>
        <v>1092</v>
      </c>
      <c r="F1173" s="14" t="str">
        <f t="shared" si="87"/>
        <v>Tidak Ada</v>
      </c>
      <c r="G1173" s="14" t="s">
        <v>45</v>
      </c>
      <c r="H1173" s="2" t="s">
        <v>64</v>
      </c>
    </row>
    <row r="1174" spans="2:10" x14ac:dyDescent="0.25">
      <c r="B1174" s="505"/>
      <c r="C1174" s="25" t="s">
        <v>2492</v>
      </c>
      <c r="D1174" s="25" t="s">
        <v>2493</v>
      </c>
      <c r="E1174" s="107">
        <f t="shared" si="88"/>
        <v>1093</v>
      </c>
      <c r="F1174" s="14">
        <f t="shared" si="87"/>
        <v>0</v>
      </c>
      <c r="G1174" s="14" t="s">
        <v>230</v>
      </c>
      <c r="H1174" s="2">
        <v>0</v>
      </c>
      <c r="J1174" s="177" t="s">
        <v>2075</v>
      </c>
    </row>
    <row r="1175" spans="2:10" x14ac:dyDescent="0.25">
      <c r="B1175" s="505"/>
      <c r="C1175" s="25" t="s">
        <v>2215</v>
      </c>
      <c r="D1175" s="25" t="s">
        <v>2494</v>
      </c>
      <c r="E1175" s="107">
        <f t="shared" si="88"/>
        <v>1094</v>
      </c>
      <c r="F1175" s="14">
        <f t="shared" si="87"/>
        <v>0</v>
      </c>
      <c r="G1175" s="14" t="s">
        <v>864</v>
      </c>
      <c r="H1175" s="2">
        <v>0</v>
      </c>
      <c r="J1175" s="177" t="s">
        <v>2075</v>
      </c>
    </row>
    <row r="1176" spans="2:10" x14ac:dyDescent="0.25">
      <c r="B1176" s="505" t="str">
        <f>"E "&amp;(RIGHT(B1173,3)+1)</f>
        <v>E 466</v>
      </c>
      <c r="C1176" s="69" t="s">
        <v>2495</v>
      </c>
      <c r="D1176" s="25" t="s">
        <v>2496</v>
      </c>
      <c r="E1176" s="107">
        <f t="shared" si="88"/>
        <v>1095</v>
      </c>
      <c r="F1176" s="14" t="str">
        <f t="shared" si="87"/>
        <v>Tidak Ada</v>
      </c>
      <c r="G1176" s="14" t="s">
        <v>45</v>
      </c>
      <c r="H1176" s="2" t="s">
        <v>64</v>
      </c>
    </row>
    <row r="1177" spans="2:10" x14ac:dyDescent="0.25">
      <c r="B1177" s="505"/>
      <c r="C1177" s="25" t="s">
        <v>2497</v>
      </c>
      <c r="D1177" s="25" t="s">
        <v>2498</v>
      </c>
      <c r="E1177" s="107">
        <f t="shared" si="88"/>
        <v>1096</v>
      </c>
      <c r="F1177" s="14">
        <f t="shared" si="87"/>
        <v>0</v>
      </c>
      <c r="G1177" s="14" t="s">
        <v>230</v>
      </c>
      <c r="H1177" s="2">
        <v>0</v>
      </c>
      <c r="J1177" s="177" t="s">
        <v>2075</v>
      </c>
    </row>
    <row r="1178" spans="2:10" x14ac:dyDescent="0.25">
      <c r="B1178" s="505"/>
      <c r="C1178" s="25" t="s">
        <v>2215</v>
      </c>
      <c r="D1178" s="25" t="s">
        <v>2499</v>
      </c>
      <c r="E1178" s="107">
        <f t="shared" si="88"/>
        <v>1097</v>
      </c>
      <c r="F1178" s="14">
        <f t="shared" si="87"/>
        <v>0</v>
      </c>
      <c r="G1178" s="14" t="s">
        <v>864</v>
      </c>
      <c r="H1178" s="2">
        <v>0</v>
      </c>
      <c r="J1178" s="177" t="s">
        <v>2075</v>
      </c>
    </row>
    <row r="1179" spans="2:10" x14ac:dyDescent="0.25">
      <c r="B1179" s="505" t="str">
        <f>"E "&amp;(RIGHT(B1176,3)+1)</f>
        <v>E 467</v>
      </c>
      <c r="C1179" s="69" t="s">
        <v>2500</v>
      </c>
      <c r="D1179" s="25" t="s">
        <v>2501</v>
      </c>
      <c r="E1179" s="107">
        <f t="shared" si="88"/>
        <v>1098</v>
      </c>
      <c r="F1179" s="14" t="str">
        <f t="shared" si="87"/>
        <v>Tidak Ada</v>
      </c>
      <c r="G1179" s="14" t="s">
        <v>45</v>
      </c>
      <c r="H1179" s="2" t="s">
        <v>64</v>
      </c>
    </row>
    <row r="1180" spans="2:10" x14ac:dyDescent="0.25">
      <c r="B1180" s="505"/>
      <c r="C1180" s="25" t="s">
        <v>2502</v>
      </c>
      <c r="D1180" s="25" t="s">
        <v>2503</v>
      </c>
      <c r="E1180" s="107">
        <f t="shared" si="88"/>
        <v>1099</v>
      </c>
      <c r="F1180" s="14">
        <f t="shared" si="87"/>
        <v>0</v>
      </c>
      <c r="G1180" s="14" t="s">
        <v>230</v>
      </c>
      <c r="H1180" s="2">
        <v>0</v>
      </c>
      <c r="J1180" s="177" t="s">
        <v>2075</v>
      </c>
    </row>
    <row r="1181" spans="2:10" x14ac:dyDescent="0.25">
      <c r="B1181" s="505"/>
      <c r="C1181" s="25" t="s">
        <v>2215</v>
      </c>
      <c r="D1181" s="25" t="s">
        <v>2504</v>
      </c>
      <c r="E1181" s="107">
        <f t="shared" si="88"/>
        <v>1100</v>
      </c>
      <c r="F1181" s="14">
        <f t="shared" si="87"/>
        <v>0</v>
      </c>
      <c r="G1181" s="14" t="s">
        <v>864</v>
      </c>
      <c r="H1181" s="2">
        <v>0</v>
      </c>
      <c r="J1181" s="177" t="s">
        <v>2075</v>
      </c>
    </row>
    <row r="1182" spans="2:10" x14ac:dyDescent="0.25">
      <c r="B1182" s="505" t="str">
        <f>"E "&amp;(RIGHT(B1179,3)+1)</f>
        <v>E 468</v>
      </c>
      <c r="C1182" s="69" t="s">
        <v>2505</v>
      </c>
      <c r="D1182" s="25" t="s">
        <v>2506</v>
      </c>
      <c r="E1182" s="107">
        <f t="shared" si="88"/>
        <v>1101</v>
      </c>
      <c r="F1182" s="14" t="str">
        <f t="shared" si="87"/>
        <v>Tidak Ada</v>
      </c>
      <c r="G1182" s="14" t="s">
        <v>45</v>
      </c>
      <c r="H1182" s="2" t="s">
        <v>64</v>
      </c>
    </row>
    <row r="1183" spans="2:10" x14ac:dyDescent="0.25">
      <c r="B1183" s="505"/>
      <c r="C1183" s="25" t="s">
        <v>2507</v>
      </c>
      <c r="D1183" s="25" t="s">
        <v>2508</v>
      </c>
      <c r="E1183" s="107">
        <f t="shared" si="88"/>
        <v>1102</v>
      </c>
      <c r="F1183" s="14">
        <f t="shared" si="87"/>
        <v>0</v>
      </c>
      <c r="G1183" s="14" t="s">
        <v>230</v>
      </c>
      <c r="H1183" s="2">
        <v>0</v>
      </c>
      <c r="J1183" s="177" t="s">
        <v>2075</v>
      </c>
    </row>
    <row r="1184" spans="2:10" x14ac:dyDescent="0.25">
      <c r="B1184" s="505"/>
      <c r="C1184" s="25" t="s">
        <v>2215</v>
      </c>
      <c r="D1184" s="25" t="s">
        <v>2509</v>
      </c>
      <c r="E1184" s="107">
        <f t="shared" si="88"/>
        <v>1103</v>
      </c>
      <c r="F1184" s="14">
        <f t="shared" si="87"/>
        <v>0</v>
      </c>
      <c r="G1184" s="14" t="s">
        <v>864</v>
      </c>
      <c r="H1184" s="2">
        <v>0</v>
      </c>
      <c r="J1184" s="177" t="s">
        <v>2075</v>
      </c>
    </row>
    <row r="1185" spans="2:10" x14ac:dyDescent="0.25">
      <c r="B1185" s="505" t="str">
        <f>"E "&amp;(RIGHT(B1182,3)+1)</f>
        <v>E 469</v>
      </c>
      <c r="C1185" s="69" t="s">
        <v>2510</v>
      </c>
      <c r="D1185" s="25" t="s">
        <v>2511</v>
      </c>
      <c r="E1185" s="107">
        <f t="shared" si="88"/>
        <v>1104</v>
      </c>
      <c r="F1185" s="14" t="str">
        <f t="shared" si="87"/>
        <v>Ada</v>
      </c>
      <c r="G1185" s="14" t="s">
        <v>45</v>
      </c>
      <c r="H1185" s="2" t="s">
        <v>148</v>
      </c>
    </row>
    <row r="1186" spans="2:10" x14ac:dyDescent="0.25">
      <c r="B1186" s="505"/>
      <c r="C1186" s="25" t="s">
        <v>2512</v>
      </c>
      <c r="D1186" s="25" t="s">
        <v>2513</v>
      </c>
      <c r="E1186" s="107">
        <f t="shared" si="88"/>
        <v>1105</v>
      </c>
      <c r="F1186" s="14">
        <f t="shared" si="87"/>
        <v>0.3</v>
      </c>
      <c r="G1186" s="14" t="s">
        <v>230</v>
      </c>
      <c r="H1186" s="2">
        <v>0.3</v>
      </c>
      <c r="J1186" s="177" t="s">
        <v>2075</v>
      </c>
    </row>
    <row r="1187" spans="2:10" x14ac:dyDescent="0.25">
      <c r="B1187" s="505"/>
      <c r="C1187" s="25" t="s">
        <v>2215</v>
      </c>
      <c r="D1187" s="25" t="s">
        <v>2514</v>
      </c>
      <c r="E1187" s="107">
        <f t="shared" si="88"/>
        <v>1106</v>
      </c>
      <c r="F1187" s="14">
        <f t="shared" si="87"/>
        <v>0.5</v>
      </c>
      <c r="G1187" s="14" t="s">
        <v>864</v>
      </c>
      <c r="H1187" s="2">
        <v>0.5</v>
      </c>
      <c r="J1187" s="177" t="s">
        <v>2075</v>
      </c>
    </row>
    <row r="1188" spans="2:10" x14ac:dyDescent="0.25">
      <c r="B1188" s="505" t="str">
        <f>"E "&amp;(RIGHT(B1185,3)+1)</f>
        <v>E 470</v>
      </c>
      <c r="C1188" s="69" t="s">
        <v>2515</v>
      </c>
      <c r="D1188" s="25" t="s">
        <v>2516</v>
      </c>
      <c r="E1188" s="107">
        <f t="shared" si="88"/>
        <v>1107</v>
      </c>
      <c r="F1188" s="14" t="str">
        <f t="shared" si="87"/>
        <v>Tidak Ada</v>
      </c>
      <c r="G1188" s="14" t="s">
        <v>45</v>
      </c>
      <c r="H1188" s="2" t="s">
        <v>64</v>
      </c>
    </row>
    <row r="1189" spans="2:10" x14ac:dyDescent="0.25">
      <c r="B1189" s="505"/>
      <c r="C1189" s="25" t="s">
        <v>2517</v>
      </c>
      <c r="D1189" s="25" t="s">
        <v>2518</v>
      </c>
      <c r="E1189" s="107">
        <f t="shared" si="88"/>
        <v>1108</v>
      </c>
      <c r="F1189" s="14" t="str">
        <f t="shared" si="87"/>
        <v>Tidak ada</v>
      </c>
      <c r="G1189" s="14" t="s">
        <v>33</v>
      </c>
      <c r="H1189" s="2" t="s">
        <v>278</v>
      </c>
    </row>
    <row r="1190" spans="2:10" x14ac:dyDescent="0.25">
      <c r="B1190" s="505"/>
      <c r="C1190" s="25" t="s">
        <v>2519</v>
      </c>
      <c r="D1190" s="25" t="s">
        <v>2520</v>
      </c>
      <c r="E1190" s="107">
        <f t="shared" si="88"/>
        <v>1109</v>
      </c>
      <c r="F1190" s="14">
        <f t="shared" si="87"/>
        <v>0</v>
      </c>
      <c r="G1190" s="14" t="s">
        <v>230</v>
      </c>
      <c r="H1190" s="2">
        <v>0</v>
      </c>
      <c r="J1190" s="177" t="s">
        <v>2075</v>
      </c>
    </row>
    <row r="1191" spans="2:10" x14ac:dyDescent="0.25">
      <c r="B1191" s="505"/>
      <c r="C1191" s="25" t="s">
        <v>2521</v>
      </c>
      <c r="D1191" s="25" t="s">
        <v>2522</v>
      </c>
      <c r="E1191" s="107">
        <f t="shared" si="88"/>
        <v>1110</v>
      </c>
      <c r="F1191" s="14">
        <f t="shared" si="87"/>
        <v>0</v>
      </c>
      <c r="G1191" s="14" t="s">
        <v>864</v>
      </c>
      <c r="H1191" s="2">
        <v>0</v>
      </c>
      <c r="J1191" s="177" t="s">
        <v>2075</v>
      </c>
    </row>
    <row r="1192" spans="2:10" x14ac:dyDescent="0.25">
      <c r="B1192" s="505" t="str">
        <f>"E "&amp;(RIGHT(B1188,3)+1)</f>
        <v>E 471</v>
      </c>
      <c r="C1192" s="69" t="s">
        <v>2523</v>
      </c>
      <c r="D1192" s="25" t="s">
        <v>2524</v>
      </c>
      <c r="E1192" s="107">
        <f t="shared" si="88"/>
        <v>1111</v>
      </c>
      <c r="F1192" s="14" t="str">
        <f t="shared" si="87"/>
        <v>Ada</v>
      </c>
      <c r="G1192" s="14" t="s">
        <v>45</v>
      </c>
      <c r="H1192" s="2" t="s">
        <v>148</v>
      </c>
    </row>
    <row r="1193" spans="2:10" x14ac:dyDescent="0.25">
      <c r="B1193" s="505"/>
      <c r="C1193" s="25" t="s">
        <v>2525</v>
      </c>
      <c r="D1193" s="25" t="s">
        <v>2526</v>
      </c>
      <c r="E1193" s="107">
        <f t="shared" si="88"/>
        <v>1112</v>
      </c>
      <c r="F1193" s="14">
        <f t="shared" si="87"/>
        <v>0.16</v>
      </c>
      <c r="G1193" s="14" t="s">
        <v>230</v>
      </c>
      <c r="H1193" s="2">
        <v>0.16</v>
      </c>
      <c r="J1193" s="177" t="s">
        <v>2075</v>
      </c>
    </row>
    <row r="1194" spans="2:10" x14ac:dyDescent="0.25">
      <c r="B1194" s="505"/>
      <c r="C1194" s="25" t="s">
        <v>2215</v>
      </c>
      <c r="D1194" s="25" t="s">
        <v>2527</v>
      </c>
      <c r="E1194" s="107">
        <f t="shared" si="88"/>
        <v>1113</v>
      </c>
      <c r="F1194" s="14">
        <f t="shared" si="87"/>
        <v>0.3</v>
      </c>
      <c r="G1194" s="14" t="s">
        <v>864</v>
      </c>
      <c r="H1194" s="2">
        <v>0.3</v>
      </c>
      <c r="J1194" s="177" t="s">
        <v>2075</v>
      </c>
    </row>
    <row r="1195" spans="2:10" x14ac:dyDescent="0.25">
      <c r="B1195" s="505" t="str">
        <f>"E "&amp;(RIGHT(B1192,3)+1)</f>
        <v>E 472</v>
      </c>
      <c r="C1195" s="69" t="s">
        <v>2528</v>
      </c>
      <c r="D1195" s="25" t="s">
        <v>2529</v>
      </c>
      <c r="E1195" s="107">
        <f t="shared" si="88"/>
        <v>1114</v>
      </c>
      <c r="F1195" s="14" t="str">
        <f t="shared" si="87"/>
        <v>Tidak Ada</v>
      </c>
      <c r="G1195" s="14" t="s">
        <v>45</v>
      </c>
      <c r="H1195" s="2" t="s">
        <v>64</v>
      </c>
    </row>
    <row r="1196" spans="2:10" x14ac:dyDescent="0.25">
      <c r="B1196" s="505"/>
      <c r="C1196" s="25" t="s">
        <v>2530</v>
      </c>
      <c r="D1196" s="25" t="s">
        <v>2531</v>
      </c>
      <c r="E1196" s="107">
        <f t="shared" si="88"/>
        <v>1115</v>
      </c>
      <c r="F1196" s="14">
        <f t="shared" si="87"/>
        <v>0</v>
      </c>
      <c r="G1196" s="14" t="s">
        <v>230</v>
      </c>
      <c r="H1196" s="2">
        <v>0</v>
      </c>
      <c r="J1196" s="177" t="s">
        <v>2075</v>
      </c>
    </row>
    <row r="1197" spans="2:10" x14ac:dyDescent="0.25">
      <c r="B1197" s="505"/>
      <c r="C1197" s="25" t="s">
        <v>2215</v>
      </c>
      <c r="D1197" s="25" t="s">
        <v>2532</v>
      </c>
      <c r="E1197" s="107">
        <f t="shared" si="88"/>
        <v>1116</v>
      </c>
      <c r="F1197" s="14">
        <f t="shared" si="87"/>
        <v>0</v>
      </c>
      <c r="G1197" s="14" t="s">
        <v>864</v>
      </c>
      <c r="H1197" s="2">
        <v>0</v>
      </c>
      <c r="J1197" s="177" t="s">
        <v>2075</v>
      </c>
    </row>
    <row r="1198" spans="2:10" x14ac:dyDescent="0.25">
      <c r="B1198" s="505" t="str">
        <f>"E "&amp;(RIGHT(B1195,3)+1)</f>
        <v>E 473</v>
      </c>
      <c r="C1198" s="69" t="s">
        <v>2533</v>
      </c>
      <c r="D1198" s="25" t="s">
        <v>2534</v>
      </c>
      <c r="E1198" s="107">
        <f t="shared" si="88"/>
        <v>1117</v>
      </c>
      <c r="F1198" s="14" t="str">
        <f t="shared" si="87"/>
        <v>Ada</v>
      </c>
      <c r="G1198" s="14" t="s">
        <v>45</v>
      </c>
      <c r="H1198" s="2" t="s">
        <v>148</v>
      </c>
    </row>
    <row r="1199" spans="2:10" x14ac:dyDescent="0.25">
      <c r="B1199" s="505"/>
      <c r="C1199" s="25" t="s">
        <v>2535</v>
      </c>
      <c r="D1199" s="25" t="s">
        <v>2536</v>
      </c>
      <c r="E1199" s="107">
        <f t="shared" si="88"/>
        <v>1118</v>
      </c>
      <c r="F1199" s="14">
        <f t="shared" si="87"/>
        <v>0.02</v>
      </c>
      <c r="G1199" s="14" t="s">
        <v>230</v>
      </c>
      <c r="H1199" s="2">
        <v>0.02</v>
      </c>
      <c r="J1199" s="177" t="s">
        <v>2075</v>
      </c>
    </row>
    <row r="1200" spans="2:10" x14ac:dyDescent="0.25">
      <c r="B1200" s="505"/>
      <c r="C1200" s="25" t="s">
        <v>2215</v>
      </c>
      <c r="D1200" s="25" t="s">
        <v>2537</v>
      </c>
      <c r="E1200" s="107">
        <f t="shared" si="88"/>
        <v>1119</v>
      </c>
      <c r="F1200" s="14">
        <f t="shared" si="87"/>
        <v>0.4</v>
      </c>
      <c r="G1200" s="14" t="s">
        <v>864</v>
      </c>
      <c r="H1200" s="2">
        <v>0.4</v>
      </c>
      <c r="J1200" s="177" t="s">
        <v>2075</v>
      </c>
    </row>
    <row r="1201" spans="2:11" x14ac:dyDescent="0.25">
      <c r="B1201" s="505" t="str">
        <f>"E "&amp;(RIGHT(B1198,3)+1)</f>
        <v>E 474</v>
      </c>
      <c r="C1201" s="69" t="s">
        <v>2538</v>
      </c>
      <c r="D1201" s="25" t="s">
        <v>2539</v>
      </c>
      <c r="E1201" s="107">
        <f t="shared" si="88"/>
        <v>1120</v>
      </c>
      <c r="F1201" s="14" t="str">
        <f t="shared" ref="F1201:F1206" si="89">H1201</f>
        <v>Tidak Ada</v>
      </c>
      <c r="G1201" s="14" t="s">
        <v>45</v>
      </c>
      <c r="H1201" s="2" t="s">
        <v>64</v>
      </c>
    </row>
    <row r="1202" spans="2:11" x14ac:dyDescent="0.25">
      <c r="B1202" s="505"/>
      <c r="C1202" s="25" t="s">
        <v>2540</v>
      </c>
      <c r="D1202" s="25" t="s">
        <v>2541</v>
      </c>
      <c r="E1202" s="107">
        <f t="shared" si="88"/>
        <v>1121</v>
      </c>
      <c r="F1202" s="14">
        <f t="shared" si="89"/>
        <v>0</v>
      </c>
      <c r="G1202" s="14" t="s">
        <v>230</v>
      </c>
      <c r="H1202" s="2">
        <v>0</v>
      </c>
      <c r="J1202" s="177" t="s">
        <v>2075</v>
      </c>
    </row>
    <row r="1203" spans="2:11" x14ac:dyDescent="0.25">
      <c r="B1203" s="505"/>
      <c r="C1203" s="25" t="s">
        <v>2215</v>
      </c>
      <c r="D1203" s="25" t="s">
        <v>2542</v>
      </c>
      <c r="E1203" s="107">
        <f t="shared" si="88"/>
        <v>1122</v>
      </c>
      <c r="F1203" s="14">
        <f t="shared" si="89"/>
        <v>0</v>
      </c>
      <c r="G1203" s="14" t="s">
        <v>864</v>
      </c>
      <c r="H1203" s="2">
        <v>0</v>
      </c>
      <c r="J1203" s="177" t="s">
        <v>2075</v>
      </c>
    </row>
    <row r="1204" spans="2:11" x14ac:dyDescent="0.25">
      <c r="B1204" s="505" t="str">
        <f>"E "&amp;(RIGHT(B1201,3)+1)</f>
        <v>E 475</v>
      </c>
      <c r="C1204" s="69" t="s">
        <v>2543</v>
      </c>
      <c r="D1204" s="25" t="s">
        <v>2544</v>
      </c>
      <c r="E1204" s="107">
        <f t="shared" si="88"/>
        <v>1123</v>
      </c>
      <c r="F1204" s="14" t="str">
        <f t="shared" si="89"/>
        <v>Tidak Ada</v>
      </c>
      <c r="G1204" s="14" t="s">
        <v>33</v>
      </c>
      <c r="H1204" s="2" t="s">
        <v>64</v>
      </c>
    </row>
    <row r="1205" spans="2:11" x14ac:dyDescent="0.25">
      <c r="B1205" s="505"/>
      <c r="C1205" s="25" t="s">
        <v>2545</v>
      </c>
      <c r="D1205" s="25" t="s">
        <v>2546</v>
      </c>
      <c r="E1205" s="107">
        <f t="shared" si="88"/>
        <v>1124</v>
      </c>
      <c r="F1205" s="14">
        <f t="shared" si="89"/>
        <v>0</v>
      </c>
      <c r="G1205" s="14" t="s">
        <v>230</v>
      </c>
      <c r="H1205" s="2">
        <v>0</v>
      </c>
      <c r="J1205" s="177" t="s">
        <v>2075</v>
      </c>
    </row>
    <row r="1206" spans="2:11" x14ac:dyDescent="0.25">
      <c r="B1206" s="505"/>
      <c r="C1206" s="25" t="s">
        <v>2215</v>
      </c>
      <c r="D1206" s="25" t="s">
        <v>2547</v>
      </c>
      <c r="E1206" s="107">
        <f t="shared" si="88"/>
        <v>1125</v>
      </c>
      <c r="F1206" s="14">
        <f t="shared" si="89"/>
        <v>0</v>
      </c>
      <c r="G1206" s="14" t="s">
        <v>864</v>
      </c>
      <c r="H1206" s="2">
        <v>0</v>
      </c>
      <c r="J1206" s="177" t="s">
        <v>2075</v>
      </c>
    </row>
    <row r="1207" spans="2:11" x14ac:dyDescent="0.25">
      <c r="B1207" s="258"/>
      <c r="C1207" s="69" t="s">
        <v>2548</v>
      </c>
      <c r="D1207" s="25"/>
      <c r="E1207" s="133"/>
      <c r="F1207" s="14"/>
      <c r="G1207" s="14"/>
      <c r="K1207" s="389" t="s">
        <v>47</v>
      </c>
    </row>
    <row r="1208" spans="2:11" x14ac:dyDescent="0.25">
      <c r="B1208" s="505" t="str">
        <f>"E "&amp;(RIGHT(B1204,3)+1)</f>
        <v>E 476</v>
      </c>
      <c r="C1208" s="69" t="s">
        <v>2549</v>
      </c>
      <c r="D1208" s="25" t="s">
        <v>2550</v>
      </c>
      <c r="E1208" s="107">
        <f>E1206+1</f>
        <v>1126</v>
      </c>
      <c r="F1208" s="14" t="str">
        <f t="shared" ref="F1208:F1239" si="90">H1208</f>
        <v>Tidak Ada</v>
      </c>
      <c r="G1208" s="14" t="s">
        <v>45</v>
      </c>
      <c r="H1208" s="2" t="s">
        <v>64</v>
      </c>
      <c r="K1208" s="389" t="s">
        <v>2551</v>
      </c>
    </row>
    <row r="1209" spans="2:11" x14ac:dyDescent="0.25">
      <c r="B1209" s="505"/>
      <c r="C1209" s="25" t="s">
        <v>2552</v>
      </c>
      <c r="D1209" s="25" t="s">
        <v>2553</v>
      </c>
      <c r="E1209" s="107">
        <f t="shared" ref="E1209:E1240" si="91">E1208+1</f>
        <v>1127</v>
      </c>
      <c r="F1209" s="14">
        <f t="shared" si="90"/>
        <v>0</v>
      </c>
      <c r="G1209" s="14" t="s">
        <v>230</v>
      </c>
      <c r="H1209" s="2">
        <v>0</v>
      </c>
      <c r="J1209" s="177" t="s">
        <v>2075</v>
      </c>
      <c r="K1209" s="389" t="s">
        <v>2554</v>
      </c>
    </row>
    <row r="1210" spans="2:11" x14ac:dyDescent="0.25">
      <c r="B1210" s="505"/>
      <c r="C1210" s="25" t="s">
        <v>2215</v>
      </c>
      <c r="D1210" s="25" t="s">
        <v>2555</v>
      </c>
      <c r="E1210" s="107">
        <f t="shared" si="91"/>
        <v>1128</v>
      </c>
      <c r="F1210" s="14">
        <f t="shared" si="90"/>
        <v>0</v>
      </c>
      <c r="G1210" s="14" t="s">
        <v>864</v>
      </c>
      <c r="H1210" s="2">
        <v>0</v>
      </c>
      <c r="J1210" s="177" t="s">
        <v>2075</v>
      </c>
      <c r="K1210" s="389" t="s">
        <v>2556</v>
      </c>
    </row>
    <row r="1211" spans="2:11" x14ac:dyDescent="0.25">
      <c r="B1211" s="505" t="str">
        <f>"E "&amp;(RIGHT(B1208,3)+1)</f>
        <v>E 477</v>
      </c>
      <c r="C1211" s="69" t="s">
        <v>2557</v>
      </c>
      <c r="D1211" s="25" t="s">
        <v>2558</v>
      </c>
      <c r="E1211" s="107">
        <f t="shared" si="91"/>
        <v>1129</v>
      </c>
      <c r="F1211" s="14" t="str">
        <f t="shared" si="90"/>
        <v>Ada</v>
      </c>
      <c r="G1211" s="14" t="s">
        <v>45</v>
      </c>
      <c r="H1211" s="2" t="s">
        <v>148</v>
      </c>
      <c r="K1211" s="389" t="s">
        <v>2559</v>
      </c>
    </row>
    <row r="1212" spans="2:11" x14ac:dyDescent="0.25">
      <c r="B1212" s="505"/>
      <c r="C1212" s="25" t="s">
        <v>2560</v>
      </c>
      <c r="D1212" s="25" t="s">
        <v>2561</v>
      </c>
      <c r="E1212" s="107">
        <f t="shared" si="91"/>
        <v>1130</v>
      </c>
      <c r="F1212" s="14">
        <f t="shared" si="90"/>
        <v>0.14000000000000001</v>
      </c>
      <c r="G1212" s="14" t="s">
        <v>230</v>
      </c>
      <c r="H1212" s="2">
        <v>0.14000000000000001</v>
      </c>
      <c r="J1212" s="177" t="s">
        <v>2075</v>
      </c>
      <c r="K1212" s="389" t="s">
        <v>2562</v>
      </c>
    </row>
    <row r="1213" spans="2:11" x14ac:dyDescent="0.25">
      <c r="B1213" s="505"/>
      <c r="C1213" s="25" t="s">
        <v>2215</v>
      </c>
      <c r="D1213" s="25" t="s">
        <v>2563</v>
      </c>
      <c r="E1213" s="107">
        <f t="shared" si="91"/>
        <v>1131</v>
      </c>
      <c r="F1213" s="14">
        <f t="shared" si="90"/>
        <v>0.8</v>
      </c>
      <c r="G1213" s="14" t="s">
        <v>864</v>
      </c>
      <c r="H1213" s="2">
        <v>0.8</v>
      </c>
      <c r="J1213" s="177" t="s">
        <v>2075</v>
      </c>
      <c r="K1213" s="389" t="s">
        <v>2564</v>
      </c>
    </row>
    <row r="1214" spans="2:11" x14ac:dyDescent="0.25">
      <c r="B1214" s="505" t="str">
        <f>"E "&amp;(RIGHT(B1211,3)+1)</f>
        <v>E 478</v>
      </c>
      <c r="C1214" s="69" t="s">
        <v>2565</v>
      </c>
      <c r="D1214" s="25" t="s">
        <v>2566</v>
      </c>
      <c r="E1214" s="107">
        <f t="shared" si="91"/>
        <v>1132</v>
      </c>
      <c r="F1214" s="14" t="str">
        <f t="shared" si="90"/>
        <v>Tidak Ada</v>
      </c>
      <c r="G1214" s="14" t="s">
        <v>45</v>
      </c>
      <c r="H1214" s="2" t="s">
        <v>64</v>
      </c>
      <c r="K1214" s="389" t="s">
        <v>2567</v>
      </c>
    </row>
    <row r="1215" spans="2:11" x14ac:dyDescent="0.25">
      <c r="B1215" s="505"/>
      <c r="C1215" s="25" t="s">
        <v>2568</v>
      </c>
      <c r="D1215" s="25" t="s">
        <v>2569</v>
      </c>
      <c r="E1215" s="107">
        <f t="shared" si="91"/>
        <v>1133</v>
      </c>
      <c r="F1215" s="14">
        <f t="shared" si="90"/>
        <v>0</v>
      </c>
      <c r="G1215" s="14" t="s">
        <v>230</v>
      </c>
      <c r="H1215" s="2">
        <v>0</v>
      </c>
      <c r="J1215" s="177" t="s">
        <v>2075</v>
      </c>
      <c r="K1215" s="389" t="s">
        <v>2570</v>
      </c>
    </row>
    <row r="1216" spans="2:11" x14ac:dyDescent="0.25">
      <c r="B1216" s="505"/>
      <c r="C1216" s="25" t="s">
        <v>2215</v>
      </c>
      <c r="D1216" s="25" t="s">
        <v>2571</v>
      </c>
      <c r="E1216" s="107">
        <f t="shared" si="91"/>
        <v>1134</v>
      </c>
      <c r="F1216" s="14">
        <f t="shared" si="90"/>
        <v>0</v>
      </c>
      <c r="G1216" s="14" t="s">
        <v>864</v>
      </c>
      <c r="H1216" s="2">
        <v>0</v>
      </c>
      <c r="J1216" s="177" t="s">
        <v>2075</v>
      </c>
      <c r="K1216" s="389" t="s">
        <v>2572</v>
      </c>
    </row>
    <row r="1217" spans="2:11" x14ac:dyDescent="0.25">
      <c r="B1217" s="505" t="str">
        <f>"E "&amp;(RIGHT(B1214,3)+1)</f>
        <v>E 479</v>
      </c>
      <c r="C1217" s="69" t="s">
        <v>2573</v>
      </c>
      <c r="D1217" s="25" t="s">
        <v>2574</v>
      </c>
      <c r="E1217" s="107">
        <f t="shared" si="91"/>
        <v>1135</v>
      </c>
      <c r="F1217" s="14" t="str">
        <f t="shared" si="90"/>
        <v>Tidak Ada</v>
      </c>
      <c r="G1217" s="14" t="s">
        <v>45</v>
      </c>
      <c r="H1217" s="2" t="s">
        <v>64</v>
      </c>
      <c r="K1217" s="389" t="s">
        <v>2446</v>
      </c>
    </row>
    <row r="1218" spans="2:11" x14ac:dyDescent="0.25">
      <c r="B1218" s="505"/>
      <c r="C1218" s="25" t="s">
        <v>2575</v>
      </c>
      <c r="D1218" s="25" t="s">
        <v>2576</v>
      </c>
      <c r="E1218" s="107">
        <f t="shared" si="91"/>
        <v>1136</v>
      </c>
      <c r="F1218" s="14">
        <f t="shared" si="90"/>
        <v>0</v>
      </c>
      <c r="G1218" s="14" t="s">
        <v>230</v>
      </c>
      <c r="H1218" s="2">
        <v>0</v>
      </c>
      <c r="J1218" s="177" t="s">
        <v>2075</v>
      </c>
      <c r="K1218" s="389" t="s">
        <v>2577</v>
      </c>
    </row>
    <row r="1219" spans="2:11" x14ac:dyDescent="0.25">
      <c r="B1219" s="505"/>
      <c r="C1219" s="25" t="s">
        <v>2215</v>
      </c>
      <c r="D1219" s="25" t="s">
        <v>2578</v>
      </c>
      <c r="E1219" s="107">
        <f t="shared" si="91"/>
        <v>1137</v>
      </c>
      <c r="F1219" s="14">
        <f t="shared" si="90"/>
        <v>0</v>
      </c>
      <c r="G1219" s="14" t="s">
        <v>864</v>
      </c>
      <c r="H1219" s="2">
        <v>0</v>
      </c>
      <c r="J1219" s="177" t="s">
        <v>2075</v>
      </c>
      <c r="K1219" s="389" t="s">
        <v>2579</v>
      </c>
    </row>
    <row r="1220" spans="2:11" x14ac:dyDescent="0.25">
      <c r="B1220" s="505" t="str">
        <f>"E "&amp;(RIGHT(B1217,3)+1)</f>
        <v>E 480</v>
      </c>
      <c r="C1220" s="69" t="s">
        <v>2580</v>
      </c>
      <c r="D1220" s="25" t="s">
        <v>2581</v>
      </c>
      <c r="E1220" s="107">
        <f t="shared" si="91"/>
        <v>1138</v>
      </c>
      <c r="F1220" s="14" t="str">
        <f t="shared" si="90"/>
        <v>Tidak Ada</v>
      </c>
      <c r="G1220" s="14" t="s">
        <v>45</v>
      </c>
      <c r="H1220" s="2" t="s">
        <v>64</v>
      </c>
      <c r="K1220" s="389" t="s">
        <v>2582</v>
      </c>
    </row>
    <row r="1221" spans="2:11" x14ac:dyDescent="0.25">
      <c r="B1221" s="505"/>
      <c r="C1221" s="25" t="s">
        <v>2583</v>
      </c>
      <c r="D1221" s="25" t="s">
        <v>2584</v>
      </c>
      <c r="E1221" s="107">
        <f t="shared" si="91"/>
        <v>1139</v>
      </c>
      <c r="F1221" s="14">
        <f t="shared" si="90"/>
        <v>0</v>
      </c>
      <c r="G1221" s="14" t="s">
        <v>230</v>
      </c>
      <c r="H1221" s="2">
        <v>0</v>
      </c>
      <c r="J1221" s="177" t="s">
        <v>2075</v>
      </c>
      <c r="K1221" s="389" t="s">
        <v>2585</v>
      </c>
    </row>
    <row r="1222" spans="2:11" x14ac:dyDescent="0.25">
      <c r="B1222" s="505"/>
      <c r="C1222" s="25" t="s">
        <v>2215</v>
      </c>
      <c r="D1222" s="25" t="s">
        <v>2586</v>
      </c>
      <c r="E1222" s="107">
        <f t="shared" si="91"/>
        <v>1140</v>
      </c>
      <c r="F1222" s="14">
        <f t="shared" si="90"/>
        <v>0</v>
      </c>
      <c r="G1222" s="14" t="s">
        <v>864</v>
      </c>
      <c r="H1222" s="2">
        <v>0</v>
      </c>
      <c r="J1222" s="177" t="s">
        <v>2075</v>
      </c>
      <c r="K1222" s="389" t="s">
        <v>2587</v>
      </c>
    </row>
    <row r="1223" spans="2:11" x14ac:dyDescent="0.25">
      <c r="B1223" s="505" t="str">
        <f>"E "&amp;(RIGHT(B1220,3)+1)</f>
        <v>E 481</v>
      </c>
      <c r="C1223" s="69" t="s">
        <v>2588</v>
      </c>
      <c r="D1223" s="25" t="s">
        <v>2589</v>
      </c>
      <c r="E1223" s="107">
        <f t="shared" si="91"/>
        <v>1141</v>
      </c>
      <c r="F1223" s="14" t="str">
        <f t="shared" si="90"/>
        <v>Tidak Ada</v>
      </c>
      <c r="G1223" s="14" t="s">
        <v>45</v>
      </c>
      <c r="H1223" s="2" t="s">
        <v>64</v>
      </c>
      <c r="K1223" s="389" t="s">
        <v>2590</v>
      </c>
    </row>
    <row r="1224" spans="2:11" x14ac:dyDescent="0.25">
      <c r="B1224" s="505"/>
      <c r="C1224" s="25" t="s">
        <v>2591</v>
      </c>
      <c r="D1224" s="25" t="s">
        <v>2592</v>
      </c>
      <c r="E1224" s="107">
        <f t="shared" si="91"/>
        <v>1142</v>
      </c>
      <c r="F1224" s="14">
        <f t="shared" si="90"/>
        <v>0</v>
      </c>
      <c r="G1224" s="14" t="s">
        <v>230</v>
      </c>
      <c r="H1224" s="2">
        <v>0</v>
      </c>
      <c r="J1224" s="177" t="s">
        <v>2075</v>
      </c>
      <c r="K1224" s="389" t="s">
        <v>2593</v>
      </c>
    </row>
    <row r="1225" spans="2:11" x14ac:dyDescent="0.25">
      <c r="B1225" s="505"/>
      <c r="C1225" s="25" t="s">
        <v>2215</v>
      </c>
      <c r="D1225" s="25" t="s">
        <v>2594</v>
      </c>
      <c r="E1225" s="107">
        <f t="shared" si="91"/>
        <v>1143</v>
      </c>
      <c r="F1225" s="14">
        <f t="shared" si="90"/>
        <v>0</v>
      </c>
      <c r="G1225" s="14" t="s">
        <v>864</v>
      </c>
      <c r="H1225" s="2">
        <v>0</v>
      </c>
      <c r="J1225" s="177" t="s">
        <v>2075</v>
      </c>
      <c r="K1225" s="389" t="s">
        <v>2595</v>
      </c>
    </row>
    <row r="1226" spans="2:11" x14ac:dyDescent="0.25">
      <c r="B1226" s="505" t="str">
        <f>"E "&amp;(RIGHT(B1223,3)+1)</f>
        <v>E 482</v>
      </c>
      <c r="C1226" s="69" t="s">
        <v>2596</v>
      </c>
      <c r="D1226" s="25" t="s">
        <v>2597</v>
      </c>
      <c r="E1226" s="107">
        <f t="shared" si="91"/>
        <v>1144</v>
      </c>
      <c r="F1226" s="14" t="str">
        <f t="shared" si="90"/>
        <v>Tidak Ada</v>
      </c>
      <c r="G1226" s="14" t="s">
        <v>45</v>
      </c>
      <c r="H1226" s="2" t="s">
        <v>64</v>
      </c>
      <c r="K1226" s="389" t="s">
        <v>2598</v>
      </c>
    </row>
    <row r="1227" spans="2:11" x14ac:dyDescent="0.25">
      <c r="B1227" s="505"/>
      <c r="C1227" s="25" t="s">
        <v>2599</v>
      </c>
      <c r="D1227" s="25" t="s">
        <v>2600</v>
      </c>
      <c r="E1227" s="107">
        <f t="shared" si="91"/>
        <v>1145</v>
      </c>
      <c r="F1227" s="14">
        <f t="shared" si="90"/>
        <v>0</v>
      </c>
      <c r="G1227" s="14" t="s">
        <v>230</v>
      </c>
      <c r="H1227" s="2">
        <v>0</v>
      </c>
      <c r="J1227" s="177" t="s">
        <v>2075</v>
      </c>
      <c r="K1227" s="389" t="s">
        <v>2601</v>
      </c>
    </row>
    <row r="1228" spans="2:11" x14ac:dyDescent="0.25">
      <c r="B1228" s="505"/>
      <c r="C1228" s="25" t="s">
        <v>2215</v>
      </c>
      <c r="D1228" s="25" t="s">
        <v>2602</v>
      </c>
      <c r="E1228" s="107">
        <f t="shared" si="91"/>
        <v>1146</v>
      </c>
      <c r="F1228" s="14">
        <f t="shared" si="90"/>
        <v>0</v>
      </c>
      <c r="G1228" s="14" t="s">
        <v>864</v>
      </c>
      <c r="H1228" s="2">
        <v>0</v>
      </c>
      <c r="J1228" s="177" t="s">
        <v>2075</v>
      </c>
      <c r="K1228" s="389" t="s">
        <v>2121</v>
      </c>
    </row>
    <row r="1229" spans="2:11" x14ac:dyDescent="0.25">
      <c r="B1229" s="505" t="str">
        <f>"E "&amp;(RIGHT(B1226,3)+1)</f>
        <v>E 483</v>
      </c>
      <c r="C1229" s="69" t="s">
        <v>2603</v>
      </c>
      <c r="D1229" s="25" t="s">
        <v>2604</v>
      </c>
      <c r="E1229" s="107">
        <f t="shared" si="91"/>
        <v>1147</v>
      </c>
      <c r="F1229" s="14" t="str">
        <f t="shared" si="90"/>
        <v>Tidak Ada</v>
      </c>
      <c r="G1229" s="14" t="s">
        <v>45</v>
      </c>
      <c r="H1229" s="2" t="s">
        <v>64</v>
      </c>
    </row>
    <row r="1230" spans="2:11" x14ac:dyDescent="0.25">
      <c r="B1230" s="505"/>
      <c r="C1230" s="25" t="s">
        <v>2605</v>
      </c>
      <c r="D1230" s="25" t="s">
        <v>2606</v>
      </c>
      <c r="E1230" s="107">
        <f t="shared" si="91"/>
        <v>1148</v>
      </c>
      <c r="F1230" s="14">
        <f t="shared" si="90"/>
        <v>0</v>
      </c>
      <c r="G1230" s="14" t="s">
        <v>230</v>
      </c>
      <c r="H1230" s="2">
        <v>0</v>
      </c>
      <c r="J1230" s="177" t="s">
        <v>2075</v>
      </c>
    </row>
    <row r="1231" spans="2:11" x14ac:dyDescent="0.25">
      <c r="B1231" s="505"/>
      <c r="C1231" s="25" t="s">
        <v>2215</v>
      </c>
      <c r="D1231" s="25" t="s">
        <v>2607</v>
      </c>
      <c r="E1231" s="107">
        <f t="shared" si="91"/>
        <v>1149</v>
      </c>
      <c r="F1231" s="14">
        <f t="shared" si="90"/>
        <v>0</v>
      </c>
      <c r="G1231" s="14" t="s">
        <v>864</v>
      </c>
      <c r="H1231" s="2">
        <v>0</v>
      </c>
      <c r="J1231" s="177" t="s">
        <v>2075</v>
      </c>
    </row>
    <row r="1232" spans="2:11" x14ac:dyDescent="0.25">
      <c r="B1232" s="505" t="str">
        <f>"E "&amp;(RIGHT(B1229,3)+1)</f>
        <v>E 484</v>
      </c>
      <c r="C1232" s="69" t="s">
        <v>2608</v>
      </c>
      <c r="D1232" s="25" t="s">
        <v>2609</v>
      </c>
      <c r="E1232" s="107">
        <f t="shared" si="91"/>
        <v>1150</v>
      </c>
      <c r="F1232" s="14" t="str">
        <f t="shared" si="90"/>
        <v>Tidak Ada</v>
      </c>
      <c r="G1232" s="14" t="s">
        <v>45</v>
      </c>
      <c r="H1232" s="2" t="s">
        <v>64</v>
      </c>
    </row>
    <row r="1233" spans="2:10" x14ac:dyDescent="0.25">
      <c r="B1233" s="505"/>
      <c r="C1233" s="25" t="s">
        <v>2610</v>
      </c>
      <c r="D1233" s="25" t="s">
        <v>2611</v>
      </c>
      <c r="E1233" s="107">
        <f t="shared" si="91"/>
        <v>1151</v>
      </c>
      <c r="F1233" s="14">
        <f t="shared" si="90"/>
        <v>0</v>
      </c>
      <c r="G1233" s="14" t="s">
        <v>230</v>
      </c>
      <c r="H1233" s="2">
        <v>0</v>
      </c>
      <c r="J1233" s="177" t="s">
        <v>2075</v>
      </c>
    </row>
    <row r="1234" spans="2:10" x14ac:dyDescent="0.25">
      <c r="B1234" s="505"/>
      <c r="C1234" s="25" t="s">
        <v>2215</v>
      </c>
      <c r="D1234" s="25" t="s">
        <v>2612</v>
      </c>
      <c r="E1234" s="107">
        <f t="shared" si="91"/>
        <v>1152</v>
      </c>
      <c r="F1234" s="14">
        <f t="shared" si="90"/>
        <v>0</v>
      </c>
      <c r="G1234" s="14" t="s">
        <v>864</v>
      </c>
      <c r="H1234" s="2">
        <v>0</v>
      </c>
      <c r="J1234" s="177" t="s">
        <v>2075</v>
      </c>
    </row>
    <row r="1235" spans="2:10" x14ac:dyDescent="0.25">
      <c r="B1235" s="505" t="str">
        <f>"E "&amp;(RIGHT(B1232,3)+1)</f>
        <v>E 485</v>
      </c>
      <c r="C1235" s="69" t="s">
        <v>2613</v>
      </c>
      <c r="D1235" s="25" t="s">
        <v>2496</v>
      </c>
      <c r="E1235" s="107">
        <f t="shared" si="91"/>
        <v>1153</v>
      </c>
      <c r="F1235" s="14" t="str">
        <f t="shared" si="90"/>
        <v>Tidak Ada</v>
      </c>
      <c r="G1235" s="14" t="s">
        <v>45</v>
      </c>
      <c r="H1235" s="2" t="s">
        <v>64</v>
      </c>
    </row>
    <row r="1236" spans="2:10" x14ac:dyDescent="0.25">
      <c r="B1236" s="505"/>
      <c r="C1236" s="25" t="s">
        <v>2614</v>
      </c>
      <c r="D1236" s="25" t="s">
        <v>2615</v>
      </c>
      <c r="E1236" s="107">
        <f t="shared" si="91"/>
        <v>1154</v>
      </c>
      <c r="F1236" s="14">
        <f t="shared" si="90"/>
        <v>0</v>
      </c>
      <c r="G1236" s="14" t="s">
        <v>230</v>
      </c>
      <c r="H1236" s="2">
        <v>0</v>
      </c>
      <c r="J1236" s="177" t="s">
        <v>2075</v>
      </c>
    </row>
    <row r="1237" spans="2:10" x14ac:dyDescent="0.25">
      <c r="B1237" s="505"/>
      <c r="C1237" s="25" t="s">
        <v>2215</v>
      </c>
      <c r="D1237" s="25" t="s">
        <v>2499</v>
      </c>
      <c r="E1237" s="107">
        <f t="shared" si="91"/>
        <v>1155</v>
      </c>
      <c r="F1237" s="14">
        <f t="shared" si="90"/>
        <v>0</v>
      </c>
      <c r="G1237" s="14" t="s">
        <v>864</v>
      </c>
      <c r="H1237" s="2">
        <v>0</v>
      </c>
      <c r="J1237" s="177" t="s">
        <v>2075</v>
      </c>
    </row>
    <row r="1238" spans="2:10" x14ac:dyDescent="0.25">
      <c r="B1238" s="505" t="str">
        <f>"E "&amp;(RIGHT(B1235,3)+1)</f>
        <v>E 486</v>
      </c>
      <c r="C1238" s="69" t="s">
        <v>2616</v>
      </c>
      <c r="D1238" s="25" t="s">
        <v>2617</v>
      </c>
      <c r="E1238" s="107">
        <f t="shared" si="91"/>
        <v>1156</v>
      </c>
      <c r="F1238" s="14" t="str">
        <f t="shared" si="90"/>
        <v>Tidak Ada</v>
      </c>
      <c r="G1238" s="14" t="s">
        <v>45</v>
      </c>
      <c r="H1238" s="2" t="s">
        <v>64</v>
      </c>
    </row>
    <row r="1239" spans="2:10" x14ac:dyDescent="0.25">
      <c r="B1239" s="505"/>
      <c r="C1239" s="25" t="s">
        <v>2618</v>
      </c>
      <c r="D1239" s="25" t="s">
        <v>2619</v>
      </c>
      <c r="E1239" s="107">
        <f t="shared" si="91"/>
        <v>1157</v>
      </c>
      <c r="F1239" s="14">
        <f t="shared" si="90"/>
        <v>0</v>
      </c>
      <c r="G1239" s="14" t="s">
        <v>230</v>
      </c>
      <c r="H1239" s="2">
        <v>0</v>
      </c>
      <c r="J1239" s="177" t="s">
        <v>2075</v>
      </c>
    </row>
    <row r="1240" spans="2:10" x14ac:dyDescent="0.25">
      <c r="B1240" s="505"/>
      <c r="C1240" s="25" t="s">
        <v>2215</v>
      </c>
      <c r="D1240" s="25" t="s">
        <v>2620</v>
      </c>
      <c r="E1240" s="107">
        <f t="shared" si="91"/>
        <v>1158</v>
      </c>
      <c r="F1240" s="14">
        <f t="shared" ref="F1240:F1271" si="92">H1240</f>
        <v>0</v>
      </c>
      <c r="G1240" s="14" t="s">
        <v>864</v>
      </c>
      <c r="H1240" s="2">
        <v>0</v>
      </c>
      <c r="J1240" s="177" t="s">
        <v>2075</v>
      </c>
    </row>
    <row r="1241" spans="2:10" x14ac:dyDescent="0.25">
      <c r="B1241" s="505" t="str">
        <f>"E "&amp;(RIGHT(B1238,3)+1)</f>
        <v>E 487</v>
      </c>
      <c r="C1241" s="69" t="s">
        <v>2621</v>
      </c>
      <c r="D1241" s="25" t="s">
        <v>2622</v>
      </c>
      <c r="E1241" s="107">
        <f t="shared" ref="E1241:E1271" si="93">E1240+1</f>
        <v>1159</v>
      </c>
      <c r="F1241" s="14" t="str">
        <f t="shared" si="92"/>
        <v>Tidak Ada</v>
      </c>
      <c r="G1241" s="14" t="s">
        <v>45</v>
      </c>
      <c r="H1241" s="2" t="s">
        <v>64</v>
      </c>
    </row>
    <row r="1242" spans="2:10" x14ac:dyDescent="0.25">
      <c r="B1242" s="505"/>
      <c r="C1242" s="25" t="s">
        <v>2623</v>
      </c>
      <c r="D1242" s="25" t="s">
        <v>2624</v>
      </c>
      <c r="E1242" s="107">
        <f t="shared" si="93"/>
        <v>1160</v>
      </c>
      <c r="F1242" s="14">
        <f t="shared" si="92"/>
        <v>0</v>
      </c>
      <c r="G1242" s="14" t="s">
        <v>230</v>
      </c>
      <c r="H1242" s="2">
        <v>0</v>
      </c>
      <c r="J1242" s="177" t="s">
        <v>2075</v>
      </c>
    </row>
    <row r="1243" spans="2:10" x14ac:dyDescent="0.25">
      <c r="B1243" s="505"/>
      <c r="C1243" s="25" t="s">
        <v>2215</v>
      </c>
      <c r="D1243" s="25" t="s">
        <v>2625</v>
      </c>
      <c r="E1243" s="107">
        <f t="shared" si="93"/>
        <v>1161</v>
      </c>
      <c r="F1243" s="14">
        <f t="shared" si="92"/>
        <v>0</v>
      </c>
      <c r="G1243" s="14" t="s">
        <v>864</v>
      </c>
      <c r="H1243" s="2">
        <v>0</v>
      </c>
      <c r="J1243" s="177" t="s">
        <v>2075</v>
      </c>
    </row>
    <row r="1244" spans="2:10" x14ac:dyDescent="0.25">
      <c r="B1244" s="505" t="str">
        <f>"E "&amp;(RIGHT(B1241,3)+1)</f>
        <v>E 488</v>
      </c>
      <c r="C1244" s="69" t="s">
        <v>2626</v>
      </c>
      <c r="D1244" s="25" t="s">
        <v>2627</v>
      </c>
      <c r="E1244" s="107">
        <f t="shared" si="93"/>
        <v>1162</v>
      </c>
      <c r="F1244" s="14" t="str">
        <f t="shared" si="92"/>
        <v>Tidak Ada</v>
      </c>
      <c r="G1244" s="14" t="s">
        <v>45</v>
      </c>
      <c r="H1244" s="2" t="s">
        <v>64</v>
      </c>
    </row>
    <row r="1245" spans="2:10" x14ac:dyDescent="0.25">
      <c r="B1245" s="505"/>
      <c r="C1245" s="25" t="s">
        <v>2628</v>
      </c>
      <c r="D1245" s="25" t="s">
        <v>2629</v>
      </c>
      <c r="E1245" s="107">
        <f t="shared" si="93"/>
        <v>1163</v>
      </c>
      <c r="F1245" s="14">
        <f t="shared" si="92"/>
        <v>0</v>
      </c>
      <c r="G1245" s="14" t="s">
        <v>230</v>
      </c>
      <c r="H1245" s="2">
        <v>0</v>
      </c>
      <c r="J1245" s="177" t="s">
        <v>2075</v>
      </c>
    </row>
    <row r="1246" spans="2:10" x14ac:dyDescent="0.25">
      <c r="B1246" s="505"/>
      <c r="C1246" s="25" t="s">
        <v>2215</v>
      </c>
      <c r="D1246" s="25" t="s">
        <v>2630</v>
      </c>
      <c r="E1246" s="107">
        <f t="shared" si="93"/>
        <v>1164</v>
      </c>
      <c r="F1246" s="14">
        <f t="shared" si="92"/>
        <v>0</v>
      </c>
      <c r="G1246" s="14" t="s">
        <v>864</v>
      </c>
      <c r="H1246" s="2">
        <v>0</v>
      </c>
      <c r="J1246" s="177" t="s">
        <v>2075</v>
      </c>
    </row>
    <row r="1247" spans="2:10" x14ac:dyDescent="0.25">
      <c r="B1247" s="505" t="str">
        <f>"E "&amp;(RIGHT(B1244,3)+1)</f>
        <v>E 489</v>
      </c>
      <c r="C1247" s="69" t="s">
        <v>2631</v>
      </c>
      <c r="D1247" s="25" t="s">
        <v>2632</v>
      </c>
      <c r="E1247" s="107">
        <f t="shared" si="93"/>
        <v>1165</v>
      </c>
      <c r="F1247" s="14" t="str">
        <f t="shared" si="92"/>
        <v>Tidak Ada</v>
      </c>
      <c r="G1247" s="14" t="s">
        <v>45</v>
      </c>
      <c r="H1247" s="2" t="s">
        <v>64</v>
      </c>
    </row>
    <row r="1248" spans="2:10" x14ac:dyDescent="0.25">
      <c r="B1248" s="505"/>
      <c r="C1248" s="25" t="s">
        <v>2633</v>
      </c>
      <c r="D1248" s="25" t="s">
        <v>2634</v>
      </c>
      <c r="E1248" s="107">
        <f t="shared" si="93"/>
        <v>1166</v>
      </c>
      <c r="F1248" s="14">
        <f t="shared" si="92"/>
        <v>0</v>
      </c>
      <c r="G1248" s="14" t="s">
        <v>230</v>
      </c>
      <c r="H1248" s="2">
        <v>0</v>
      </c>
      <c r="J1248" s="177" t="s">
        <v>2075</v>
      </c>
    </row>
    <row r="1249" spans="2:10" x14ac:dyDescent="0.25">
      <c r="B1249" s="505"/>
      <c r="C1249" s="25" t="s">
        <v>2215</v>
      </c>
      <c r="D1249" s="25" t="s">
        <v>2635</v>
      </c>
      <c r="E1249" s="107">
        <f t="shared" si="93"/>
        <v>1167</v>
      </c>
      <c r="F1249" s="14">
        <f t="shared" si="92"/>
        <v>0</v>
      </c>
      <c r="G1249" s="14" t="s">
        <v>864</v>
      </c>
      <c r="H1249" s="2">
        <v>0</v>
      </c>
      <c r="J1249" s="177" t="s">
        <v>2075</v>
      </c>
    </row>
    <row r="1250" spans="2:10" x14ac:dyDescent="0.25">
      <c r="B1250" s="505" t="str">
        <f>"E "&amp;(RIGHT(B1247,3)+1)</f>
        <v>E 490</v>
      </c>
      <c r="C1250" s="69" t="s">
        <v>2636</v>
      </c>
      <c r="D1250" s="25" t="s">
        <v>2637</v>
      </c>
      <c r="E1250" s="107">
        <f t="shared" si="93"/>
        <v>1168</v>
      </c>
      <c r="F1250" s="14" t="str">
        <f t="shared" si="92"/>
        <v>Tidak Ada</v>
      </c>
      <c r="G1250" s="14" t="s">
        <v>45</v>
      </c>
      <c r="H1250" s="2" t="s">
        <v>64</v>
      </c>
    </row>
    <row r="1251" spans="2:10" x14ac:dyDescent="0.25">
      <c r="B1251" s="505"/>
      <c r="C1251" s="25" t="s">
        <v>2638</v>
      </c>
      <c r="D1251" s="25" t="s">
        <v>2639</v>
      </c>
      <c r="E1251" s="107">
        <f t="shared" si="93"/>
        <v>1169</v>
      </c>
      <c r="F1251" s="14">
        <f t="shared" si="92"/>
        <v>0</v>
      </c>
      <c r="G1251" s="14" t="s">
        <v>230</v>
      </c>
      <c r="H1251" s="2">
        <v>0</v>
      </c>
      <c r="J1251" s="177" t="s">
        <v>2075</v>
      </c>
    </row>
    <row r="1252" spans="2:10" x14ac:dyDescent="0.25">
      <c r="B1252" s="505"/>
      <c r="C1252" s="25" t="s">
        <v>2215</v>
      </c>
      <c r="D1252" s="25" t="s">
        <v>2640</v>
      </c>
      <c r="E1252" s="107">
        <f t="shared" si="93"/>
        <v>1170</v>
      </c>
      <c r="F1252" s="14">
        <f t="shared" si="92"/>
        <v>0</v>
      </c>
      <c r="G1252" s="14" t="s">
        <v>864</v>
      </c>
      <c r="H1252" s="2">
        <v>0</v>
      </c>
      <c r="J1252" s="177" t="s">
        <v>2075</v>
      </c>
    </row>
    <row r="1253" spans="2:10" x14ac:dyDescent="0.25">
      <c r="B1253" s="505" t="str">
        <f>"E "&amp;(RIGHT(B1250,3)+1)</f>
        <v>E 491</v>
      </c>
      <c r="C1253" s="69" t="s">
        <v>2641</v>
      </c>
      <c r="D1253" s="25" t="s">
        <v>2642</v>
      </c>
      <c r="E1253" s="107">
        <f t="shared" si="93"/>
        <v>1171</v>
      </c>
      <c r="F1253" s="14" t="str">
        <f t="shared" si="92"/>
        <v>Tidak Ada</v>
      </c>
      <c r="G1253" s="14" t="s">
        <v>45</v>
      </c>
      <c r="H1253" s="2" t="s">
        <v>64</v>
      </c>
    </row>
    <row r="1254" spans="2:10" x14ac:dyDescent="0.25">
      <c r="B1254" s="505"/>
      <c r="C1254" s="25" t="s">
        <v>2643</v>
      </c>
      <c r="D1254" s="25" t="s">
        <v>2644</v>
      </c>
      <c r="E1254" s="107">
        <f t="shared" si="93"/>
        <v>1172</v>
      </c>
      <c r="F1254" s="14">
        <f t="shared" si="92"/>
        <v>0</v>
      </c>
      <c r="G1254" s="14" t="s">
        <v>230</v>
      </c>
      <c r="H1254" s="2">
        <v>0</v>
      </c>
      <c r="J1254" s="177" t="s">
        <v>2075</v>
      </c>
    </row>
    <row r="1255" spans="2:10" x14ac:dyDescent="0.25">
      <c r="B1255" s="505"/>
      <c r="C1255" s="25" t="s">
        <v>2215</v>
      </c>
      <c r="D1255" s="25" t="s">
        <v>2645</v>
      </c>
      <c r="E1255" s="107">
        <f t="shared" si="93"/>
        <v>1173</v>
      </c>
      <c r="F1255" s="14">
        <f t="shared" si="92"/>
        <v>0</v>
      </c>
      <c r="G1255" s="14" t="s">
        <v>864</v>
      </c>
      <c r="H1255" s="2">
        <v>0</v>
      </c>
      <c r="J1255" s="177" t="s">
        <v>2075</v>
      </c>
    </row>
    <row r="1256" spans="2:10" x14ac:dyDescent="0.25">
      <c r="B1256" s="505" t="str">
        <f>"E "&amp;(RIGHT(B1253,3)+1)</f>
        <v>E 492</v>
      </c>
      <c r="C1256" s="69" t="s">
        <v>2646</v>
      </c>
      <c r="D1256" s="25" t="s">
        <v>2647</v>
      </c>
      <c r="E1256" s="107">
        <f t="shared" si="93"/>
        <v>1174</v>
      </c>
      <c r="F1256" s="14" t="str">
        <f t="shared" si="92"/>
        <v>Tidak Ada</v>
      </c>
      <c r="G1256" s="14" t="s">
        <v>45</v>
      </c>
      <c r="H1256" s="2" t="s">
        <v>64</v>
      </c>
    </row>
    <row r="1257" spans="2:10" x14ac:dyDescent="0.25">
      <c r="B1257" s="505"/>
      <c r="C1257" s="25" t="s">
        <v>2648</v>
      </c>
      <c r="D1257" s="25" t="s">
        <v>2649</v>
      </c>
      <c r="E1257" s="107">
        <f t="shared" si="93"/>
        <v>1175</v>
      </c>
      <c r="F1257" s="14">
        <f t="shared" si="92"/>
        <v>0</v>
      </c>
      <c r="G1257" s="14" t="s">
        <v>230</v>
      </c>
      <c r="H1257" s="2">
        <v>0</v>
      </c>
      <c r="J1257" s="177" t="s">
        <v>2075</v>
      </c>
    </row>
    <row r="1258" spans="2:10" x14ac:dyDescent="0.25">
      <c r="B1258" s="505"/>
      <c r="C1258" s="25" t="s">
        <v>2215</v>
      </c>
      <c r="D1258" s="25" t="s">
        <v>2650</v>
      </c>
      <c r="E1258" s="107">
        <f t="shared" si="93"/>
        <v>1176</v>
      </c>
      <c r="F1258" s="14">
        <f t="shared" si="92"/>
        <v>0</v>
      </c>
      <c r="G1258" s="14" t="s">
        <v>864</v>
      </c>
      <c r="H1258" s="2">
        <v>0</v>
      </c>
      <c r="J1258" s="177" t="s">
        <v>2075</v>
      </c>
    </row>
    <row r="1259" spans="2:10" x14ac:dyDescent="0.25">
      <c r="B1259" s="505" t="str">
        <f>"E "&amp;(RIGHT(B1256,3)+1)</f>
        <v>E 493</v>
      </c>
      <c r="C1259" s="69" t="s">
        <v>2651</v>
      </c>
      <c r="D1259" s="25" t="s">
        <v>2652</v>
      </c>
      <c r="E1259" s="107">
        <f t="shared" si="93"/>
        <v>1177</v>
      </c>
      <c r="F1259" s="14" t="str">
        <f t="shared" si="92"/>
        <v>Tidak Ada</v>
      </c>
      <c r="G1259" s="14" t="s">
        <v>45</v>
      </c>
      <c r="H1259" s="2" t="s">
        <v>64</v>
      </c>
    </row>
    <row r="1260" spans="2:10" x14ac:dyDescent="0.25">
      <c r="B1260" s="505"/>
      <c r="C1260" s="25" t="s">
        <v>2653</v>
      </c>
      <c r="D1260" s="25" t="s">
        <v>2654</v>
      </c>
      <c r="E1260" s="107">
        <f t="shared" si="93"/>
        <v>1178</v>
      </c>
      <c r="F1260" s="14">
        <f t="shared" si="92"/>
        <v>0</v>
      </c>
      <c r="G1260" s="14" t="s">
        <v>230</v>
      </c>
      <c r="H1260" s="2">
        <v>0</v>
      </c>
      <c r="J1260" s="177" t="s">
        <v>2075</v>
      </c>
    </row>
    <row r="1261" spans="2:10" x14ac:dyDescent="0.25">
      <c r="B1261" s="505"/>
      <c r="C1261" s="25" t="s">
        <v>2215</v>
      </c>
      <c r="D1261" s="25" t="s">
        <v>2655</v>
      </c>
      <c r="E1261" s="107">
        <f t="shared" si="93"/>
        <v>1179</v>
      </c>
      <c r="F1261" s="14">
        <f t="shared" si="92"/>
        <v>0</v>
      </c>
      <c r="G1261" s="14" t="s">
        <v>864</v>
      </c>
      <c r="H1261" s="2">
        <v>0</v>
      </c>
      <c r="J1261" s="177" t="s">
        <v>2075</v>
      </c>
    </row>
    <row r="1262" spans="2:10" x14ac:dyDescent="0.25">
      <c r="B1262" s="505" t="str">
        <f>"E "&amp;(RIGHT(B1259,3)+1)</f>
        <v>E 494</v>
      </c>
      <c r="C1262" s="69" t="s">
        <v>2656</v>
      </c>
      <c r="D1262" s="25" t="s">
        <v>2657</v>
      </c>
      <c r="E1262" s="107">
        <f t="shared" si="93"/>
        <v>1180</v>
      </c>
      <c r="F1262" s="14" t="str">
        <f t="shared" si="92"/>
        <v>Tidak Ada</v>
      </c>
      <c r="G1262" s="14" t="s">
        <v>45</v>
      </c>
      <c r="H1262" s="2" t="s">
        <v>64</v>
      </c>
    </row>
    <row r="1263" spans="2:10" x14ac:dyDescent="0.25">
      <c r="B1263" s="505"/>
      <c r="C1263" s="25" t="s">
        <v>2658</v>
      </c>
      <c r="D1263" s="25" t="s">
        <v>2659</v>
      </c>
      <c r="E1263" s="107">
        <f t="shared" si="93"/>
        <v>1181</v>
      </c>
      <c r="F1263" s="14">
        <f t="shared" si="92"/>
        <v>0</v>
      </c>
      <c r="G1263" s="14" t="s">
        <v>230</v>
      </c>
      <c r="H1263" s="2">
        <v>0</v>
      </c>
      <c r="J1263" s="177" t="s">
        <v>2075</v>
      </c>
    </row>
    <row r="1264" spans="2:10" x14ac:dyDescent="0.25">
      <c r="B1264" s="505"/>
      <c r="C1264" s="25" t="s">
        <v>2215</v>
      </c>
      <c r="D1264" s="25" t="s">
        <v>2660</v>
      </c>
      <c r="E1264" s="107">
        <f t="shared" si="93"/>
        <v>1182</v>
      </c>
      <c r="F1264" s="14">
        <f t="shared" si="92"/>
        <v>0</v>
      </c>
      <c r="G1264" s="14" t="s">
        <v>864</v>
      </c>
      <c r="H1264" s="2">
        <v>0</v>
      </c>
      <c r="J1264" s="177" t="s">
        <v>2075</v>
      </c>
    </row>
    <row r="1265" spans="2:10" x14ac:dyDescent="0.25">
      <c r="B1265" s="505" t="str">
        <f>"E "&amp;(RIGHT(B1262,3)+1)</f>
        <v>E 495</v>
      </c>
      <c r="C1265" s="69" t="s">
        <v>2661</v>
      </c>
      <c r="D1265" s="25" t="s">
        <v>2662</v>
      </c>
      <c r="E1265" s="107">
        <f t="shared" si="93"/>
        <v>1183</v>
      </c>
      <c r="F1265" s="14" t="str">
        <f t="shared" si="92"/>
        <v>Tidak Ada</v>
      </c>
      <c r="G1265" s="14" t="s">
        <v>45</v>
      </c>
      <c r="H1265" s="2" t="s">
        <v>64</v>
      </c>
    </row>
    <row r="1266" spans="2:10" x14ac:dyDescent="0.25">
      <c r="B1266" s="505"/>
      <c r="C1266" s="25" t="s">
        <v>2663</v>
      </c>
      <c r="D1266" s="25" t="s">
        <v>2664</v>
      </c>
      <c r="E1266" s="107">
        <f t="shared" si="93"/>
        <v>1184</v>
      </c>
      <c r="F1266" s="14">
        <f t="shared" si="92"/>
        <v>0</v>
      </c>
      <c r="G1266" s="14" t="s">
        <v>230</v>
      </c>
      <c r="H1266" s="2">
        <v>0</v>
      </c>
      <c r="J1266" s="177" t="s">
        <v>2075</v>
      </c>
    </row>
    <row r="1267" spans="2:10" x14ac:dyDescent="0.25">
      <c r="B1267" s="505"/>
      <c r="C1267" s="25" t="s">
        <v>2215</v>
      </c>
      <c r="D1267" s="25" t="s">
        <v>2665</v>
      </c>
      <c r="E1267" s="107">
        <f t="shared" si="93"/>
        <v>1185</v>
      </c>
      <c r="F1267" s="14">
        <f t="shared" si="92"/>
        <v>0</v>
      </c>
      <c r="G1267" s="14" t="s">
        <v>864</v>
      </c>
      <c r="H1267" s="2">
        <v>0</v>
      </c>
      <c r="J1267" s="177" t="s">
        <v>2075</v>
      </c>
    </row>
    <row r="1268" spans="2:10" x14ac:dyDescent="0.25">
      <c r="B1268" s="505" t="str">
        <f>"E "&amp;(RIGHT(B1265,3)+1)</f>
        <v>E 496</v>
      </c>
      <c r="C1268" s="69" t="s">
        <v>2666</v>
      </c>
      <c r="D1268" s="25" t="s">
        <v>2667</v>
      </c>
      <c r="E1268" s="107">
        <f t="shared" si="93"/>
        <v>1186</v>
      </c>
      <c r="F1268" s="14" t="str">
        <f t="shared" si="92"/>
        <v>Tidak Ada</v>
      </c>
      <c r="G1268" s="14" t="s">
        <v>45</v>
      </c>
      <c r="H1268" s="2" t="s">
        <v>64</v>
      </c>
    </row>
    <row r="1269" spans="2:10" x14ac:dyDescent="0.25">
      <c r="B1269" s="505"/>
      <c r="C1269" s="25" t="s">
        <v>2668</v>
      </c>
      <c r="D1269" s="25" t="s">
        <v>2669</v>
      </c>
      <c r="E1269" s="107">
        <f t="shared" si="93"/>
        <v>1187</v>
      </c>
      <c r="F1269" s="14">
        <f t="shared" si="92"/>
        <v>0</v>
      </c>
      <c r="G1269" s="14" t="s">
        <v>33</v>
      </c>
      <c r="H1269" s="2">
        <v>0</v>
      </c>
    </row>
    <row r="1270" spans="2:10" x14ac:dyDescent="0.25">
      <c r="B1270" s="505"/>
      <c r="C1270" s="25" t="s">
        <v>2670</v>
      </c>
      <c r="D1270" s="25" t="s">
        <v>2671</v>
      </c>
      <c r="E1270" s="107">
        <f t="shared" si="93"/>
        <v>1188</v>
      </c>
      <c r="F1270" s="14">
        <f t="shared" si="92"/>
        <v>0</v>
      </c>
      <c r="G1270" s="14" t="s">
        <v>230</v>
      </c>
      <c r="H1270" s="2">
        <v>0</v>
      </c>
      <c r="J1270" s="177" t="s">
        <v>2075</v>
      </c>
    </row>
    <row r="1271" spans="2:10" x14ac:dyDescent="0.25">
      <c r="B1271" s="505"/>
      <c r="C1271" s="25" t="s">
        <v>2251</v>
      </c>
      <c r="D1271" s="25" t="s">
        <v>2672</v>
      </c>
      <c r="E1271" s="107">
        <f t="shared" si="93"/>
        <v>1189</v>
      </c>
      <c r="F1271" s="14">
        <f t="shared" si="92"/>
        <v>0</v>
      </c>
      <c r="G1271" s="14" t="s">
        <v>864</v>
      </c>
      <c r="H1271" s="2">
        <v>0</v>
      </c>
      <c r="J1271" s="177" t="s">
        <v>2075</v>
      </c>
    </row>
    <row r="1272" spans="2:10" x14ac:dyDescent="0.25">
      <c r="B1272" s="258"/>
      <c r="C1272" s="69" t="s">
        <v>2673</v>
      </c>
      <c r="D1272" s="25"/>
      <c r="E1272" s="133"/>
      <c r="F1272" s="14"/>
      <c r="G1272" s="14"/>
    </row>
    <row r="1273" spans="2:10" x14ac:dyDescent="0.25">
      <c r="B1273" s="258"/>
      <c r="C1273" s="69" t="s">
        <v>2674</v>
      </c>
      <c r="D1273" s="25"/>
      <c r="E1273" s="133"/>
      <c r="F1273" s="14"/>
      <c r="G1273" s="14"/>
    </row>
    <row r="1274" spans="2:10" x14ac:dyDescent="0.25">
      <c r="B1274" s="505" t="str">
        <f>"E "&amp;(RIGHT(B1268,3)+1)</f>
        <v>E 497</v>
      </c>
      <c r="C1274" s="25" t="s">
        <v>2675</v>
      </c>
      <c r="D1274" s="25" t="s">
        <v>2676</v>
      </c>
      <c r="E1274" s="107">
        <f>E1271+1</f>
        <v>1190</v>
      </c>
      <c r="F1274" s="14" t="str">
        <f t="shared" ref="F1274:F1279" si="94">H1274</f>
        <v>-</v>
      </c>
      <c r="G1274" s="14" t="s">
        <v>45</v>
      </c>
      <c r="H1274" s="2" t="s">
        <v>47</v>
      </c>
    </row>
    <row r="1275" spans="2:10" x14ac:dyDescent="0.25">
      <c r="B1275" s="505"/>
      <c r="C1275" s="25" t="s">
        <v>2677</v>
      </c>
      <c r="D1275" s="25" t="s">
        <v>2678</v>
      </c>
      <c r="E1275" s="107">
        <f>E1274+1</f>
        <v>1191</v>
      </c>
      <c r="F1275" s="14">
        <f t="shared" si="94"/>
        <v>0</v>
      </c>
      <c r="G1275" s="14" t="s">
        <v>864</v>
      </c>
      <c r="H1275" s="2">
        <v>0</v>
      </c>
      <c r="J1275" s="177" t="s">
        <v>2075</v>
      </c>
    </row>
    <row r="1276" spans="2:10" x14ac:dyDescent="0.25">
      <c r="B1276" s="505"/>
      <c r="C1276" s="25" t="s">
        <v>2679</v>
      </c>
      <c r="D1276" s="25" t="s">
        <v>2680</v>
      </c>
      <c r="E1276" s="107">
        <f>E1275+1</f>
        <v>1192</v>
      </c>
      <c r="F1276" s="14" t="str">
        <f t="shared" si="94"/>
        <v>Tidak ada</v>
      </c>
      <c r="G1276" s="14" t="s">
        <v>33</v>
      </c>
      <c r="H1276" s="2" t="s">
        <v>278</v>
      </c>
    </row>
    <row r="1277" spans="2:10" x14ac:dyDescent="0.25">
      <c r="B1277" s="505" t="str">
        <f>"E "&amp;(RIGHT(B1274,3)+1)</f>
        <v>E 498</v>
      </c>
      <c r="C1277" s="25" t="s">
        <v>2681</v>
      </c>
      <c r="D1277" s="25" t="s">
        <v>2682</v>
      </c>
      <c r="E1277" s="107">
        <f>E1276+1</f>
        <v>1193</v>
      </c>
      <c r="F1277" s="14" t="str">
        <f t="shared" si="94"/>
        <v>-</v>
      </c>
      <c r="G1277" s="14" t="s">
        <v>45</v>
      </c>
      <c r="H1277" s="2" t="s">
        <v>47</v>
      </c>
    </row>
    <row r="1278" spans="2:10" x14ac:dyDescent="0.25">
      <c r="B1278" s="505"/>
      <c r="C1278" s="25" t="s">
        <v>2683</v>
      </c>
      <c r="D1278" s="25" t="s">
        <v>2684</v>
      </c>
      <c r="E1278" s="107">
        <f>E1277+1</f>
        <v>1194</v>
      </c>
      <c r="F1278" s="14">
        <f t="shared" si="94"/>
        <v>0</v>
      </c>
      <c r="G1278" s="14" t="s">
        <v>864</v>
      </c>
      <c r="H1278" s="2">
        <v>0</v>
      </c>
      <c r="J1278" s="177" t="s">
        <v>2075</v>
      </c>
    </row>
    <row r="1279" spans="2:10" x14ac:dyDescent="0.25">
      <c r="B1279" s="505"/>
      <c r="C1279" s="25" t="s">
        <v>2685</v>
      </c>
      <c r="D1279" s="25" t="s">
        <v>2686</v>
      </c>
      <c r="E1279" s="107">
        <f>E1278+1</f>
        <v>1195</v>
      </c>
      <c r="F1279" s="14" t="str">
        <f t="shared" si="94"/>
        <v>Tidak ada</v>
      </c>
      <c r="G1279" s="14" t="s">
        <v>33</v>
      </c>
      <c r="H1279" s="2" t="s">
        <v>278</v>
      </c>
    </row>
    <row r="1280" spans="2:10" x14ac:dyDescent="0.25">
      <c r="B1280" s="258"/>
      <c r="C1280" s="69" t="s">
        <v>2687</v>
      </c>
      <c r="D1280" s="25"/>
      <c r="E1280" s="133"/>
      <c r="F1280" s="14"/>
      <c r="G1280" s="37"/>
    </row>
    <row r="1281" spans="2:10" x14ac:dyDescent="0.25">
      <c r="B1281" s="505" t="str">
        <f>"E "&amp;(RIGHT(B1277,3)+1)</f>
        <v>E 499</v>
      </c>
      <c r="C1281" s="25" t="s">
        <v>2688</v>
      </c>
      <c r="D1281" s="25" t="s">
        <v>2689</v>
      </c>
      <c r="E1281" s="107">
        <f>E1279+1</f>
        <v>1196</v>
      </c>
      <c r="F1281" s="14" t="str">
        <f t="shared" ref="F1281:F1286" si="95">H1281</f>
        <v>-</v>
      </c>
      <c r="G1281" s="14" t="s">
        <v>45</v>
      </c>
      <c r="H1281" s="2" t="s">
        <v>47</v>
      </c>
    </row>
    <row r="1282" spans="2:10" x14ac:dyDescent="0.25">
      <c r="B1282" s="505"/>
      <c r="C1282" s="25" t="s">
        <v>2690</v>
      </c>
      <c r="D1282" s="25" t="s">
        <v>2691</v>
      </c>
      <c r="E1282" s="107">
        <f>E1281+1</f>
        <v>1197</v>
      </c>
      <c r="F1282" s="14">
        <f t="shared" si="95"/>
        <v>0</v>
      </c>
      <c r="G1282" s="14" t="s">
        <v>864</v>
      </c>
      <c r="H1282" s="2">
        <v>0</v>
      </c>
      <c r="J1282" s="177" t="s">
        <v>2075</v>
      </c>
    </row>
    <row r="1283" spans="2:10" x14ac:dyDescent="0.25">
      <c r="B1283" s="505"/>
      <c r="C1283" s="25" t="s">
        <v>2692</v>
      </c>
      <c r="D1283" s="25" t="s">
        <v>2693</v>
      </c>
      <c r="E1283" s="107">
        <f>E1282+1</f>
        <v>1198</v>
      </c>
      <c r="F1283" s="14" t="str">
        <f t="shared" si="95"/>
        <v>Tidak ada</v>
      </c>
      <c r="G1283" s="14" t="s">
        <v>33</v>
      </c>
      <c r="H1283" s="2" t="s">
        <v>278</v>
      </c>
    </row>
    <row r="1284" spans="2:10" x14ac:dyDescent="0.25">
      <c r="B1284" s="505" t="str">
        <f>"E "&amp;(RIGHT(B1281,3)+1)</f>
        <v>E 500</v>
      </c>
      <c r="C1284" s="25" t="s">
        <v>2694</v>
      </c>
      <c r="D1284" s="25" t="s">
        <v>2695</v>
      </c>
      <c r="E1284" s="107">
        <f>E1283+1</f>
        <v>1199</v>
      </c>
      <c r="F1284" s="14" t="str">
        <f t="shared" si="95"/>
        <v>-</v>
      </c>
      <c r="G1284" s="14" t="s">
        <v>45</v>
      </c>
      <c r="H1284" s="2" t="s">
        <v>47</v>
      </c>
    </row>
    <row r="1285" spans="2:10" x14ac:dyDescent="0.25">
      <c r="B1285" s="505"/>
      <c r="C1285" s="25" t="s">
        <v>2696</v>
      </c>
      <c r="D1285" s="25" t="s">
        <v>2697</v>
      </c>
      <c r="E1285" s="107">
        <f>E1284+1</f>
        <v>1200</v>
      </c>
      <c r="F1285" s="14">
        <f t="shared" si="95"/>
        <v>0</v>
      </c>
      <c r="G1285" s="14" t="s">
        <v>864</v>
      </c>
      <c r="H1285" s="2">
        <v>0</v>
      </c>
      <c r="J1285" s="177" t="s">
        <v>2075</v>
      </c>
    </row>
    <row r="1286" spans="2:10" x14ac:dyDescent="0.25">
      <c r="B1286" s="505"/>
      <c r="C1286" s="25" t="s">
        <v>2698</v>
      </c>
      <c r="D1286" s="25" t="s">
        <v>2699</v>
      </c>
      <c r="E1286" s="107">
        <f>E1285+1</f>
        <v>1201</v>
      </c>
      <c r="F1286" s="14" t="str">
        <f t="shared" si="95"/>
        <v>Tidak ada</v>
      </c>
      <c r="G1286" s="14" t="s">
        <v>33</v>
      </c>
      <c r="H1286" s="2" t="s">
        <v>278</v>
      </c>
    </row>
    <row r="1287" spans="2:10" x14ac:dyDescent="0.25">
      <c r="B1287" s="258"/>
      <c r="C1287" s="69" t="s">
        <v>2700</v>
      </c>
      <c r="D1287" s="25"/>
      <c r="E1287" s="133"/>
      <c r="F1287" s="14"/>
      <c r="G1287" s="14"/>
    </row>
    <row r="1288" spans="2:10" x14ac:dyDescent="0.25">
      <c r="B1288" s="505" t="str">
        <f>"E "&amp;(RIGHT(B1284,3)+1)</f>
        <v>E 501</v>
      </c>
      <c r="C1288" s="25" t="s">
        <v>2701</v>
      </c>
      <c r="D1288" s="25" t="s">
        <v>2702</v>
      </c>
      <c r="E1288" s="107">
        <f>E1286+1</f>
        <v>1202</v>
      </c>
      <c r="F1288" s="14" t="str">
        <f t="shared" ref="F1288:F1293" si="96">H1288</f>
        <v>-</v>
      </c>
      <c r="G1288" s="14" t="s">
        <v>45</v>
      </c>
      <c r="H1288" s="2" t="s">
        <v>47</v>
      </c>
    </row>
    <row r="1289" spans="2:10" x14ac:dyDescent="0.25">
      <c r="B1289" s="505"/>
      <c r="C1289" s="25" t="s">
        <v>2703</v>
      </c>
      <c r="D1289" s="25" t="s">
        <v>2704</v>
      </c>
      <c r="E1289" s="107">
        <f>E1288+1</f>
        <v>1203</v>
      </c>
      <c r="F1289" s="14">
        <f t="shared" si="96"/>
        <v>0</v>
      </c>
      <c r="G1289" s="14" t="s">
        <v>864</v>
      </c>
      <c r="H1289" s="2">
        <v>0</v>
      </c>
      <c r="J1289" s="177" t="s">
        <v>2075</v>
      </c>
    </row>
    <row r="1290" spans="2:10" x14ac:dyDescent="0.25">
      <c r="B1290" s="505"/>
      <c r="C1290" s="25" t="s">
        <v>2705</v>
      </c>
      <c r="D1290" s="25" t="s">
        <v>2706</v>
      </c>
      <c r="E1290" s="107">
        <f>E1289+1</f>
        <v>1204</v>
      </c>
      <c r="F1290" s="14" t="str">
        <f t="shared" si="96"/>
        <v xml:space="preserve">Tidak ada </v>
      </c>
      <c r="G1290" s="14" t="s">
        <v>33</v>
      </c>
      <c r="H1290" s="2" t="s">
        <v>2707</v>
      </c>
    </row>
    <row r="1291" spans="2:10" x14ac:dyDescent="0.25">
      <c r="B1291" s="505" t="str">
        <f>"E "&amp;(RIGHT(B1288,3)+1)</f>
        <v>E 502</v>
      </c>
      <c r="C1291" s="25" t="s">
        <v>2708</v>
      </c>
      <c r="D1291" s="25" t="s">
        <v>2709</v>
      </c>
      <c r="E1291" s="107">
        <f>E1290+1</f>
        <v>1205</v>
      </c>
      <c r="F1291" s="14" t="str">
        <f t="shared" si="96"/>
        <v>-</v>
      </c>
      <c r="G1291" s="14" t="s">
        <v>45</v>
      </c>
      <c r="H1291" s="2" t="s">
        <v>47</v>
      </c>
    </row>
    <row r="1292" spans="2:10" x14ac:dyDescent="0.25">
      <c r="B1292" s="505"/>
      <c r="C1292" s="25" t="s">
        <v>2710</v>
      </c>
      <c r="D1292" s="25" t="s">
        <v>2711</v>
      </c>
      <c r="E1292" s="107">
        <f>E1291+1</f>
        <v>1206</v>
      </c>
      <c r="F1292" s="14">
        <f t="shared" si="96"/>
        <v>0</v>
      </c>
      <c r="G1292" s="14" t="s">
        <v>864</v>
      </c>
      <c r="H1292" s="2">
        <v>0</v>
      </c>
      <c r="J1292" s="177" t="s">
        <v>2075</v>
      </c>
    </row>
    <row r="1293" spans="2:10" x14ac:dyDescent="0.25">
      <c r="B1293" s="505"/>
      <c r="C1293" s="25" t="s">
        <v>2712</v>
      </c>
      <c r="D1293" s="25" t="s">
        <v>2713</v>
      </c>
      <c r="E1293" s="107">
        <f>E1292+1</f>
        <v>1207</v>
      </c>
      <c r="F1293" s="14" t="str">
        <f t="shared" si="96"/>
        <v>Tidak ada</v>
      </c>
      <c r="G1293" s="14" t="s">
        <v>33</v>
      </c>
      <c r="H1293" s="2" t="s">
        <v>278</v>
      </c>
    </row>
    <row r="1294" spans="2:10" x14ac:dyDescent="0.25">
      <c r="B1294" s="258"/>
      <c r="C1294" s="69" t="s">
        <v>2714</v>
      </c>
      <c r="D1294" s="25"/>
      <c r="E1294" s="133"/>
      <c r="F1294" s="14"/>
      <c r="G1294" s="14"/>
    </row>
    <row r="1295" spans="2:10" x14ac:dyDescent="0.25">
      <c r="B1295" s="505" t="str">
        <f>"E "&amp;(RIGHT(B1291,3)+1)</f>
        <v>E 503</v>
      </c>
      <c r="C1295" s="25" t="s">
        <v>2715</v>
      </c>
      <c r="D1295" s="25" t="s">
        <v>2716</v>
      </c>
      <c r="E1295" s="107">
        <f>E1293+1</f>
        <v>1208</v>
      </c>
      <c r="F1295" s="14" t="str">
        <f t="shared" ref="F1295:F1300" si="97">H1295</f>
        <v>-</v>
      </c>
      <c r="G1295" s="14" t="s">
        <v>45</v>
      </c>
      <c r="H1295" s="2" t="s">
        <v>47</v>
      </c>
    </row>
    <row r="1296" spans="2:10" x14ac:dyDescent="0.25">
      <c r="B1296" s="505"/>
      <c r="C1296" s="25" t="s">
        <v>2717</v>
      </c>
      <c r="D1296" s="25" t="s">
        <v>2718</v>
      </c>
      <c r="E1296" s="107">
        <f>E1295+1</f>
        <v>1209</v>
      </c>
      <c r="F1296" s="14">
        <f t="shared" si="97"/>
        <v>0</v>
      </c>
      <c r="G1296" s="14" t="s">
        <v>864</v>
      </c>
      <c r="H1296" s="2">
        <v>0</v>
      </c>
      <c r="J1296" s="177" t="s">
        <v>2075</v>
      </c>
    </row>
    <row r="1297" spans="2:10" ht="31.5" customHeight="1" x14ac:dyDescent="0.25">
      <c r="B1297" s="505"/>
      <c r="C1297" s="25" t="s">
        <v>2719</v>
      </c>
      <c r="D1297" s="25" t="s">
        <v>2720</v>
      </c>
      <c r="E1297" s="107">
        <f>E1296+1</f>
        <v>1210</v>
      </c>
      <c r="F1297" s="14" t="str">
        <f t="shared" si="97"/>
        <v>Tidak ada</v>
      </c>
      <c r="G1297" s="14" t="s">
        <v>33</v>
      </c>
      <c r="H1297" s="2" t="s">
        <v>278</v>
      </c>
    </row>
    <row r="1298" spans="2:10" x14ac:dyDescent="0.25">
      <c r="B1298" s="505" t="str">
        <f>"E "&amp;(RIGHT(B1295,3)+1)</f>
        <v>E 504</v>
      </c>
      <c r="C1298" s="25" t="s">
        <v>2721</v>
      </c>
      <c r="D1298" s="25" t="s">
        <v>2722</v>
      </c>
      <c r="E1298" s="107">
        <f>E1297+1</f>
        <v>1211</v>
      </c>
      <c r="F1298" s="14" t="str">
        <f t="shared" si="97"/>
        <v>-</v>
      </c>
      <c r="G1298" s="14" t="s">
        <v>45</v>
      </c>
      <c r="H1298" s="2" t="s">
        <v>47</v>
      </c>
    </row>
    <row r="1299" spans="2:10" x14ac:dyDescent="0.25">
      <c r="B1299" s="505"/>
      <c r="C1299" s="25" t="s">
        <v>2723</v>
      </c>
      <c r="D1299" s="25" t="s">
        <v>2724</v>
      </c>
      <c r="E1299" s="107">
        <f>E1298+1</f>
        <v>1212</v>
      </c>
      <c r="F1299" s="14">
        <f t="shared" si="97"/>
        <v>0</v>
      </c>
      <c r="G1299" s="14" t="s">
        <v>864</v>
      </c>
      <c r="H1299" s="2">
        <v>0</v>
      </c>
      <c r="J1299" s="177" t="s">
        <v>2075</v>
      </c>
    </row>
    <row r="1300" spans="2:10" x14ac:dyDescent="0.25">
      <c r="B1300" s="505"/>
      <c r="C1300" s="25" t="s">
        <v>2725</v>
      </c>
      <c r="D1300" s="25" t="s">
        <v>2726</v>
      </c>
      <c r="E1300" s="107">
        <f>E1299+1</f>
        <v>1213</v>
      </c>
      <c r="F1300" s="14" t="str">
        <f t="shared" si="97"/>
        <v>Tidak ada</v>
      </c>
      <c r="G1300" s="14" t="s">
        <v>33</v>
      </c>
      <c r="H1300" s="2" t="s">
        <v>278</v>
      </c>
    </row>
    <row r="1301" spans="2:10" x14ac:dyDescent="0.25">
      <c r="B1301" s="258"/>
      <c r="C1301" s="69" t="s">
        <v>2727</v>
      </c>
      <c r="D1301" s="25"/>
      <c r="E1301" s="133"/>
      <c r="F1301" s="14"/>
      <c r="G1301" s="14"/>
    </row>
    <row r="1302" spans="2:10" x14ac:dyDescent="0.25">
      <c r="B1302" s="258"/>
      <c r="C1302" s="69" t="s">
        <v>2728</v>
      </c>
      <c r="D1302" s="25"/>
      <c r="E1302" s="133"/>
      <c r="F1302" s="14"/>
      <c r="G1302" s="14"/>
    </row>
    <row r="1303" spans="2:10" x14ac:dyDescent="0.25">
      <c r="B1303" s="546" t="str">
        <f>"E "&amp;(RIGHT(B1298,3)+1)</f>
        <v>E 505</v>
      </c>
      <c r="C1303" s="25" t="s">
        <v>2729</v>
      </c>
      <c r="D1303" s="25" t="s">
        <v>2730</v>
      </c>
      <c r="E1303" s="107">
        <f>E1300+1</f>
        <v>1214</v>
      </c>
      <c r="F1303" s="14" t="str">
        <f t="shared" ref="F1303:F1308" si="98">H1303</f>
        <v>-</v>
      </c>
      <c r="G1303" s="14" t="s">
        <v>45</v>
      </c>
      <c r="H1303" s="2" t="s">
        <v>47</v>
      </c>
    </row>
    <row r="1304" spans="2:10" x14ac:dyDescent="0.25">
      <c r="B1304" s="547"/>
      <c r="C1304" s="25" t="s">
        <v>2677</v>
      </c>
      <c r="D1304" s="25" t="s">
        <v>2731</v>
      </c>
      <c r="E1304" s="107">
        <f>E1303+1</f>
        <v>1215</v>
      </c>
      <c r="F1304" s="14">
        <f t="shared" si="98"/>
        <v>0</v>
      </c>
      <c r="G1304" s="14" t="s">
        <v>864</v>
      </c>
      <c r="H1304" s="2">
        <v>0</v>
      </c>
      <c r="J1304" s="177" t="s">
        <v>2075</v>
      </c>
    </row>
    <row r="1305" spans="2:10" x14ac:dyDescent="0.25">
      <c r="B1305" s="548"/>
      <c r="C1305" s="25" t="s">
        <v>2679</v>
      </c>
      <c r="D1305" s="25" t="s">
        <v>2732</v>
      </c>
      <c r="E1305" s="107">
        <f>E1304+1</f>
        <v>1216</v>
      </c>
      <c r="F1305" s="14" t="str">
        <f t="shared" si="98"/>
        <v>Tidak ada</v>
      </c>
      <c r="G1305" s="14" t="s">
        <v>33</v>
      </c>
      <c r="H1305" s="2" t="s">
        <v>278</v>
      </c>
    </row>
    <row r="1306" spans="2:10" x14ac:dyDescent="0.25">
      <c r="B1306" s="546" t="str">
        <f>"E "&amp;(RIGHT(B1303,3)+1)</f>
        <v>E 506</v>
      </c>
      <c r="C1306" s="25" t="s">
        <v>2733</v>
      </c>
      <c r="D1306" s="25" t="s">
        <v>2734</v>
      </c>
      <c r="E1306" s="107">
        <f>E1305+1</f>
        <v>1217</v>
      </c>
      <c r="F1306" s="14" t="str">
        <f t="shared" si="98"/>
        <v>-</v>
      </c>
      <c r="G1306" s="14" t="s">
        <v>45</v>
      </c>
      <c r="H1306" s="2" t="s">
        <v>47</v>
      </c>
    </row>
    <row r="1307" spans="2:10" x14ac:dyDescent="0.25">
      <c r="B1307" s="547"/>
      <c r="C1307" s="25" t="s">
        <v>2683</v>
      </c>
      <c r="D1307" s="25" t="s">
        <v>2735</v>
      </c>
      <c r="E1307" s="107">
        <f>E1306+1</f>
        <v>1218</v>
      </c>
      <c r="F1307" s="14">
        <f t="shared" si="98"/>
        <v>0</v>
      </c>
      <c r="G1307" s="14" t="s">
        <v>864</v>
      </c>
      <c r="H1307" s="2">
        <v>0</v>
      </c>
      <c r="J1307" s="177" t="s">
        <v>2075</v>
      </c>
    </row>
    <row r="1308" spans="2:10" x14ac:dyDescent="0.25">
      <c r="B1308" s="548"/>
      <c r="C1308" s="25" t="s">
        <v>2685</v>
      </c>
      <c r="D1308" s="25" t="s">
        <v>2736</v>
      </c>
      <c r="E1308" s="107">
        <f>E1307+1</f>
        <v>1219</v>
      </c>
      <c r="F1308" s="14" t="str">
        <f t="shared" si="98"/>
        <v>Tidak ada</v>
      </c>
      <c r="G1308" s="14" t="s">
        <v>33</v>
      </c>
      <c r="H1308" s="2" t="s">
        <v>278</v>
      </c>
    </row>
    <row r="1309" spans="2:10" x14ac:dyDescent="0.25">
      <c r="B1309" s="258"/>
      <c r="C1309" s="69" t="s">
        <v>2737</v>
      </c>
      <c r="D1309" s="25"/>
      <c r="E1309" s="133"/>
      <c r="F1309" s="14"/>
      <c r="G1309" s="14"/>
    </row>
    <row r="1310" spans="2:10" x14ac:dyDescent="0.25">
      <c r="B1310" s="546" t="str">
        <f>"E "&amp;(RIGHT(B1306,3)+1)</f>
        <v>E 507</v>
      </c>
      <c r="C1310" s="25" t="s">
        <v>2729</v>
      </c>
      <c r="D1310" s="25" t="s">
        <v>2738</v>
      </c>
      <c r="E1310" s="107">
        <f>E1308+1</f>
        <v>1220</v>
      </c>
      <c r="F1310" s="14" t="str">
        <f t="shared" ref="F1310:F1315" si="99">H1310</f>
        <v>-</v>
      </c>
      <c r="G1310" s="14" t="s">
        <v>45</v>
      </c>
      <c r="H1310" s="2" t="s">
        <v>47</v>
      </c>
    </row>
    <row r="1311" spans="2:10" x14ac:dyDescent="0.25">
      <c r="B1311" s="547"/>
      <c r="C1311" s="25" t="s">
        <v>2677</v>
      </c>
      <c r="D1311" s="25" t="s">
        <v>2739</v>
      </c>
      <c r="E1311" s="107">
        <f>E1310+1</f>
        <v>1221</v>
      </c>
      <c r="F1311" s="14">
        <f t="shared" si="99"/>
        <v>0</v>
      </c>
      <c r="G1311" s="14" t="s">
        <v>864</v>
      </c>
      <c r="H1311" s="2">
        <v>0</v>
      </c>
      <c r="J1311" s="177" t="s">
        <v>2075</v>
      </c>
    </row>
    <row r="1312" spans="2:10" x14ac:dyDescent="0.25">
      <c r="B1312" s="548"/>
      <c r="C1312" s="25" t="s">
        <v>2679</v>
      </c>
      <c r="D1312" s="25" t="s">
        <v>2740</v>
      </c>
      <c r="E1312" s="107">
        <f>E1311+1</f>
        <v>1222</v>
      </c>
      <c r="F1312" s="14" t="str">
        <f t="shared" si="99"/>
        <v>tidak ada</v>
      </c>
      <c r="G1312" s="14" t="s">
        <v>33</v>
      </c>
      <c r="H1312" s="2" t="s">
        <v>2741</v>
      </c>
    </row>
    <row r="1313" spans="2:10" x14ac:dyDescent="0.25">
      <c r="B1313" s="546" t="str">
        <f>"E "&amp;(RIGHT(B1310,3)+1)</f>
        <v>E 508</v>
      </c>
      <c r="C1313" s="25" t="s">
        <v>2733</v>
      </c>
      <c r="D1313" s="25" t="s">
        <v>2742</v>
      </c>
      <c r="E1313" s="107">
        <f>E1312+1</f>
        <v>1223</v>
      </c>
      <c r="F1313" s="14" t="str">
        <f t="shared" si="99"/>
        <v>-</v>
      </c>
      <c r="G1313" s="14" t="s">
        <v>45</v>
      </c>
      <c r="H1313" s="2" t="s">
        <v>47</v>
      </c>
    </row>
    <row r="1314" spans="2:10" x14ac:dyDescent="0.25">
      <c r="B1314" s="547"/>
      <c r="C1314" s="25" t="s">
        <v>2683</v>
      </c>
      <c r="D1314" s="25" t="s">
        <v>2743</v>
      </c>
      <c r="E1314" s="107">
        <f>E1313+1</f>
        <v>1224</v>
      </c>
      <c r="F1314" s="14">
        <f t="shared" si="99"/>
        <v>0</v>
      </c>
      <c r="G1314" s="14" t="s">
        <v>864</v>
      </c>
      <c r="H1314" s="2">
        <v>0</v>
      </c>
      <c r="J1314" s="177" t="s">
        <v>2075</v>
      </c>
    </row>
    <row r="1315" spans="2:10" x14ac:dyDescent="0.25">
      <c r="B1315" s="548"/>
      <c r="C1315" s="25" t="s">
        <v>2685</v>
      </c>
      <c r="D1315" s="25" t="s">
        <v>2744</v>
      </c>
      <c r="E1315" s="107">
        <f>E1314+1</f>
        <v>1225</v>
      </c>
      <c r="F1315" s="14" t="str">
        <f t="shared" si="99"/>
        <v>Tidak ada</v>
      </c>
      <c r="G1315" s="14" t="s">
        <v>33</v>
      </c>
      <c r="H1315" s="2" t="s">
        <v>278</v>
      </c>
    </row>
    <row r="1316" spans="2:10" x14ac:dyDescent="0.25">
      <c r="B1316" s="258"/>
      <c r="C1316" s="69" t="s">
        <v>2745</v>
      </c>
      <c r="D1316" s="25"/>
      <c r="E1316" s="133"/>
      <c r="F1316" s="14"/>
      <c r="G1316" s="14"/>
    </row>
    <row r="1317" spans="2:10" x14ac:dyDescent="0.25">
      <c r="B1317" s="546" t="str">
        <f>"E "&amp;(RIGHT(B1313,3)+1)</f>
        <v>E 509</v>
      </c>
      <c r="C1317" s="25" t="s">
        <v>2729</v>
      </c>
      <c r="D1317" s="25" t="s">
        <v>2746</v>
      </c>
      <c r="E1317" s="107">
        <f>E1315+1</f>
        <v>1226</v>
      </c>
      <c r="F1317" s="14" t="str">
        <f t="shared" ref="F1317:F1322" si="100">H1317</f>
        <v>-</v>
      </c>
      <c r="G1317" s="14" t="s">
        <v>45</v>
      </c>
      <c r="H1317" s="2" t="s">
        <v>47</v>
      </c>
    </row>
    <row r="1318" spans="2:10" x14ac:dyDescent="0.25">
      <c r="B1318" s="547"/>
      <c r="C1318" s="25" t="s">
        <v>2677</v>
      </c>
      <c r="D1318" s="25" t="s">
        <v>2747</v>
      </c>
      <c r="E1318" s="107">
        <f>E1317+1</f>
        <v>1227</v>
      </c>
      <c r="F1318" s="14">
        <f t="shared" si="100"/>
        <v>0</v>
      </c>
      <c r="G1318" s="14" t="s">
        <v>864</v>
      </c>
      <c r="H1318" s="2">
        <v>0</v>
      </c>
      <c r="J1318" s="177" t="s">
        <v>2075</v>
      </c>
    </row>
    <row r="1319" spans="2:10" x14ac:dyDescent="0.25">
      <c r="B1319" s="548"/>
      <c r="C1319" s="25" t="s">
        <v>2679</v>
      </c>
      <c r="D1319" s="25" t="s">
        <v>2748</v>
      </c>
      <c r="E1319" s="107">
        <f>E1318+1</f>
        <v>1228</v>
      </c>
      <c r="F1319" s="14" t="str">
        <f t="shared" si="100"/>
        <v>Tidak ada</v>
      </c>
      <c r="G1319" s="14" t="s">
        <v>33</v>
      </c>
      <c r="H1319" s="2" t="s">
        <v>278</v>
      </c>
    </row>
    <row r="1320" spans="2:10" x14ac:dyDescent="0.25">
      <c r="B1320" s="546" t="str">
        <f>"E "&amp;(RIGHT(B1317,3)+1)</f>
        <v>E 510</v>
      </c>
      <c r="C1320" s="25" t="s">
        <v>2733</v>
      </c>
      <c r="D1320" s="25" t="s">
        <v>2749</v>
      </c>
      <c r="E1320" s="107">
        <f>E1319+1</f>
        <v>1229</v>
      </c>
      <c r="F1320" s="14" t="str">
        <f t="shared" si="100"/>
        <v>-</v>
      </c>
      <c r="G1320" s="14" t="s">
        <v>45</v>
      </c>
      <c r="H1320" s="2" t="s">
        <v>47</v>
      </c>
    </row>
    <row r="1321" spans="2:10" x14ac:dyDescent="0.25">
      <c r="B1321" s="547"/>
      <c r="C1321" s="25" t="s">
        <v>2683</v>
      </c>
      <c r="D1321" s="25" t="s">
        <v>2750</v>
      </c>
      <c r="E1321" s="107">
        <f>E1320+1</f>
        <v>1230</v>
      </c>
      <c r="F1321" s="14">
        <f t="shared" si="100"/>
        <v>0</v>
      </c>
      <c r="G1321" s="14" t="s">
        <v>864</v>
      </c>
      <c r="H1321" s="2">
        <v>0</v>
      </c>
      <c r="J1321" s="177" t="s">
        <v>2075</v>
      </c>
    </row>
    <row r="1322" spans="2:10" x14ac:dyDescent="0.25">
      <c r="B1322" s="548"/>
      <c r="C1322" s="25" t="s">
        <v>2685</v>
      </c>
      <c r="D1322" s="25" t="s">
        <v>2751</v>
      </c>
      <c r="E1322" s="107">
        <f>E1321+1</f>
        <v>1231</v>
      </c>
      <c r="F1322" s="14" t="str">
        <f t="shared" si="100"/>
        <v>Tidak ada</v>
      </c>
      <c r="G1322" s="14" t="s">
        <v>33</v>
      </c>
      <c r="H1322" s="2" t="s">
        <v>278</v>
      </c>
    </row>
    <row r="1323" spans="2:10" x14ac:dyDescent="0.25">
      <c r="B1323" s="258"/>
      <c r="C1323" s="69" t="s">
        <v>2752</v>
      </c>
      <c r="D1323" s="25"/>
      <c r="E1323" s="133"/>
      <c r="F1323" s="14"/>
      <c r="G1323" s="14"/>
    </row>
    <row r="1324" spans="2:10" x14ac:dyDescent="0.25">
      <c r="B1324" s="546" t="str">
        <f>"E "&amp;(RIGHT(B1320,3)+1)</f>
        <v>E 511</v>
      </c>
      <c r="C1324" s="25" t="s">
        <v>2729</v>
      </c>
      <c r="D1324" s="25" t="s">
        <v>2753</v>
      </c>
      <c r="E1324" s="107">
        <f>E1322+1</f>
        <v>1232</v>
      </c>
      <c r="F1324" s="14" t="str">
        <f t="shared" ref="F1324:F1333" si="101">H1324</f>
        <v>-</v>
      </c>
      <c r="G1324" s="14" t="s">
        <v>45</v>
      </c>
      <c r="H1324" s="2" t="s">
        <v>47</v>
      </c>
    </row>
    <row r="1325" spans="2:10" x14ac:dyDescent="0.25">
      <c r="B1325" s="547"/>
      <c r="C1325" s="25" t="s">
        <v>2677</v>
      </c>
      <c r="D1325" s="25" t="s">
        <v>2754</v>
      </c>
      <c r="E1325" s="107">
        <f t="shared" ref="E1325:E1333" si="102">E1324+1</f>
        <v>1233</v>
      </c>
      <c r="F1325" s="14">
        <f t="shared" si="101"/>
        <v>0</v>
      </c>
      <c r="G1325" s="14" t="s">
        <v>864</v>
      </c>
      <c r="H1325" s="2">
        <v>0</v>
      </c>
      <c r="J1325" s="177" t="s">
        <v>2075</v>
      </c>
    </row>
    <row r="1326" spans="2:10" x14ac:dyDescent="0.25">
      <c r="B1326" s="548"/>
      <c r="C1326" s="25" t="s">
        <v>2679</v>
      </c>
      <c r="D1326" s="25" t="s">
        <v>2755</v>
      </c>
      <c r="E1326" s="107">
        <f t="shared" si="102"/>
        <v>1234</v>
      </c>
      <c r="F1326" s="14" t="str">
        <f t="shared" si="101"/>
        <v>Tidak ada</v>
      </c>
      <c r="G1326" s="14" t="s">
        <v>33</v>
      </c>
      <c r="H1326" s="2" t="s">
        <v>278</v>
      </c>
    </row>
    <row r="1327" spans="2:10" x14ac:dyDescent="0.25">
      <c r="B1327" s="546" t="str">
        <f>"E "&amp;(RIGHT(B1324,3)+1)</f>
        <v>E 512</v>
      </c>
      <c r="C1327" s="25" t="s">
        <v>2733</v>
      </c>
      <c r="D1327" s="25" t="s">
        <v>2756</v>
      </c>
      <c r="E1327" s="107">
        <f t="shared" si="102"/>
        <v>1235</v>
      </c>
      <c r="F1327" s="14" t="str">
        <f t="shared" si="101"/>
        <v>-</v>
      </c>
      <c r="G1327" s="14" t="s">
        <v>45</v>
      </c>
      <c r="H1327" s="2" t="s">
        <v>47</v>
      </c>
    </row>
    <row r="1328" spans="2:10" x14ac:dyDescent="0.25">
      <c r="B1328" s="547"/>
      <c r="C1328" s="25" t="s">
        <v>2683</v>
      </c>
      <c r="D1328" s="25" t="s">
        <v>2757</v>
      </c>
      <c r="E1328" s="107">
        <f t="shared" si="102"/>
        <v>1236</v>
      </c>
      <c r="F1328" s="14">
        <f t="shared" si="101"/>
        <v>0</v>
      </c>
      <c r="G1328" s="14" t="s">
        <v>864</v>
      </c>
      <c r="H1328" s="2">
        <v>0</v>
      </c>
      <c r="J1328" s="177" t="s">
        <v>2075</v>
      </c>
    </row>
    <row r="1329" spans="2:11" x14ac:dyDescent="0.25">
      <c r="B1329" s="548"/>
      <c r="C1329" s="25" t="s">
        <v>2685</v>
      </c>
      <c r="D1329" s="25" t="s">
        <v>2758</v>
      </c>
      <c r="E1329" s="107">
        <f t="shared" si="102"/>
        <v>1237</v>
      </c>
      <c r="F1329" s="14" t="str">
        <f t="shared" si="101"/>
        <v>Tidak ada</v>
      </c>
      <c r="G1329" s="14" t="s">
        <v>33</v>
      </c>
      <c r="H1329" s="2" t="s">
        <v>278</v>
      </c>
      <c r="J1329" s="390" t="s">
        <v>2759</v>
      </c>
    </row>
    <row r="1330" spans="2:11" x14ac:dyDescent="0.25">
      <c r="B1330" s="546" t="str">
        <f>"E "&amp;(RIGHT(B1327,3)+1)</f>
        <v>E 513</v>
      </c>
      <c r="C1330" s="25" t="s">
        <v>2760</v>
      </c>
      <c r="D1330" s="25" t="s">
        <v>2761</v>
      </c>
      <c r="E1330" s="107">
        <f t="shared" si="102"/>
        <v>1238</v>
      </c>
      <c r="F1330" s="14" t="str">
        <f t="shared" si="101"/>
        <v>Ya- Terdapat Peningkatan</v>
      </c>
      <c r="G1330" s="14" t="s">
        <v>45</v>
      </c>
      <c r="H1330" s="2" t="s">
        <v>2762</v>
      </c>
      <c r="J1330" s="390" t="s">
        <v>1263</v>
      </c>
    </row>
    <row r="1331" spans="2:11" x14ac:dyDescent="0.25">
      <c r="B1331" s="548"/>
      <c r="C1331" s="25" t="s">
        <v>2763</v>
      </c>
      <c r="D1331" s="25" t="s">
        <v>2764</v>
      </c>
      <c r="E1331" s="107">
        <f t="shared" si="102"/>
        <v>1239</v>
      </c>
      <c r="F1331" s="14" t="str">
        <f t="shared" si="101"/>
        <v>Buah Kelor</v>
      </c>
      <c r="G1331" s="14" t="s">
        <v>33</v>
      </c>
      <c r="H1331" s="2" t="s">
        <v>2765</v>
      </c>
      <c r="J1331" s="390" t="s">
        <v>1267</v>
      </c>
    </row>
    <row r="1332" spans="2:11" x14ac:dyDescent="0.25">
      <c r="B1332" s="546" t="str">
        <f>"E "&amp;(RIGHT(B1330,3)+1)</f>
        <v>E 514</v>
      </c>
      <c r="C1332" s="25" t="s">
        <v>2766</v>
      </c>
      <c r="D1332" s="25" t="s">
        <v>2767</v>
      </c>
      <c r="E1332" s="107">
        <f t="shared" si="102"/>
        <v>1240</v>
      </c>
      <c r="F1332" s="14">
        <f t="shared" si="101"/>
        <v>0</v>
      </c>
      <c r="G1332" s="14" t="s">
        <v>45</v>
      </c>
      <c r="H1332" s="2">
        <v>0</v>
      </c>
      <c r="J1332" s="390" t="s">
        <v>2768</v>
      </c>
    </row>
    <row r="1333" spans="2:11" x14ac:dyDescent="0.25">
      <c r="B1333" s="548"/>
      <c r="C1333" s="25" t="s">
        <v>2769</v>
      </c>
      <c r="D1333" s="25" t="s">
        <v>2770</v>
      </c>
      <c r="E1333" s="107">
        <f t="shared" si="102"/>
        <v>1241</v>
      </c>
      <c r="F1333" s="14">
        <f t="shared" si="101"/>
        <v>2</v>
      </c>
      <c r="G1333" s="14" t="s">
        <v>45</v>
      </c>
      <c r="H1333" s="2">
        <v>2</v>
      </c>
      <c r="K1333" s="174" t="s">
        <v>2771</v>
      </c>
    </row>
    <row r="1334" spans="2:11" x14ac:dyDescent="0.25">
      <c r="B1334" s="260"/>
      <c r="C1334" s="69" t="s">
        <v>2772</v>
      </c>
      <c r="D1334" s="25"/>
      <c r="E1334" s="133"/>
      <c r="F1334" s="14"/>
      <c r="G1334" s="14"/>
    </row>
    <row r="1335" spans="2:11" x14ac:dyDescent="0.25">
      <c r="B1335" s="546" t="str">
        <f>"E "&amp;(RIGHT(B1332,3)+1)</f>
        <v>E 515</v>
      </c>
      <c r="C1335" s="25" t="s">
        <v>2773</v>
      </c>
      <c r="D1335" s="25" t="s">
        <v>2774</v>
      </c>
      <c r="E1335" s="107">
        <f>E1333+1</f>
        <v>1242</v>
      </c>
      <c r="F1335" s="14">
        <f t="shared" ref="F1335:F1342" si="103">H1335</f>
        <v>25</v>
      </c>
      <c r="G1335" s="14" t="s">
        <v>1048</v>
      </c>
      <c r="H1335" s="2">
        <v>25</v>
      </c>
      <c r="J1335" s="174" t="s">
        <v>1271</v>
      </c>
    </row>
    <row r="1336" spans="2:11" x14ac:dyDescent="0.25">
      <c r="B1336" s="547"/>
      <c r="C1336" s="25" t="s">
        <v>2775</v>
      </c>
      <c r="D1336" s="25" t="s">
        <v>2776</v>
      </c>
      <c r="E1336" s="107">
        <f t="shared" ref="E1336:E1342" si="104">E1335+1</f>
        <v>1243</v>
      </c>
      <c r="F1336" s="14">
        <f t="shared" si="103"/>
        <v>373</v>
      </c>
      <c r="G1336" s="14" t="s">
        <v>1048</v>
      </c>
      <c r="H1336" s="2">
        <v>373</v>
      </c>
      <c r="J1336" s="174" t="s">
        <v>1271</v>
      </c>
    </row>
    <row r="1337" spans="2:11" x14ac:dyDescent="0.25">
      <c r="B1337" s="547"/>
      <c r="C1337" s="25" t="s">
        <v>2777</v>
      </c>
      <c r="D1337" s="25" t="s">
        <v>2778</v>
      </c>
      <c r="E1337" s="107">
        <f t="shared" si="104"/>
        <v>1244</v>
      </c>
      <c r="F1337" s="14">
        <f t="shared" si="103"/>
        <v>8</v>
      </c>
      <c r="G1337" s="14" t="s">
        <v>1048</v>
      </c>
      <c r="H1337" s="2">
        <v>8</v>
      </c>
      <c r="J1337" s="174" t="s">
        <v>1271</v>
      </c>
    </row>
    <row r="1338" spans="2:11" x14ac:dyDescent="0.25">
      <c r="B1338" s="547"/>
      <c r="C1338" s="25" t="s">
        <v>2779</v>
      </c>
      <c r="D1338" s="25" t="s">
        <v>2780</v>
      </c>
      <c r="E1338" s="107">
        <f t="shared" si="104"/>
        <v>1245</v>
      </c>
      <c r="F1338" s="14">
        <f t="shared" si="103"/>
        <v>2</v>
      </c>
      <c r="G1338" s="14" t="s">
        <v>1048</v>
      </c>
      <c r="H1338" s="2">
        <v>2</v>
      </c>
      <c r="J1338" s="174" t="s">
        <v>1271</v>
      </c>
    </row>
    <row r="1339" spans="2:11" x14ac:dyDescent="0.25">
      <c r="B1339" s="547"/>
      <c r="C1339" s="25" t="s">
        <v>2781</v>
      </c>
      <c r="D1339" s="25" t="s">
        <v>2782</v>
      </c>
      <c r="E1339" s="107">
        <f t="shared" si="104"/>
        <v>1246</v>
      </c>
      <c r="F1339" s="14">
        <f t="shared" si="103"/>
        <v>1</v>
      </c>
      <c r="G1339" s="14" t="s">
        <v>1048</v>
      </c>
      <c r="H1339" s="2">
        <v>1</v>
      </c>
      <c r="J1339" s="174" t="s">
        <v>1271</v>
      </c>
    </row>
    <row r="1340" spans="2:11" x14ac:dyDescent="0.25">
      <c r="B1340" s="547"/>
      <c r="C1340" s="25" t="s">
        <v>2783</v>
      </c>
      <c r="D1340" s="25" t="s">
        <v>2784</v>
      </c>
      <c r="E1340" s="107">
        <f t="shared" si="104"/>
        <v>1247</v>
      </c>
      <c r="F1340" s="14">
        <f t="shared" si="103"/>
        <v>30</v>
      </c>
      <c r="G1340" s="14" t="s">
        <v>1048</v>
      </c>
      <c r="H1340" s="2">
        <v>30</v>
      </c>
      <c r="J1340" s="174" t="s">
        <v>1271</v>
      </c>
    </row>
    <row r="1341" spans="2:11" ht="24" customHeight="1" x14ac:dyDescent="0.25">
      <c r="B1341" s="547"/>
      <c r="C1341" s="184" t="s">
        <v>2785</v>
      </c>
      <c r="D1341" s="184" t="s">
        <v>2786</v>
      </c>
      <c r="E1341" s="185">
        <f t="shared" si="104"/>
        <v>1248</v>
      </c>
      <c r="F1341" s="183">
        <f t="shared" si="103"/>
        <v>439</v>
      </c>
      <c r="G1341" s="183" t="s">
        <v>1048</v>
      </c>
      <c r="H1341" s="188">
        <f>SUM($H$1335:$H$1340)</f>
        <v>439</v>
      </c>
      <c r="I1341" s="187" t="s">
        <v>2787</v>
      </c>
    </row>
    <row r="1342" spans="2:11" x14ac:dyDescent="0.25">
      <c r="B1342" s="548"/>
      <c r="C1342" s="25" t="s">
        <v>2788</v>
      </c>
      <c r="D1342" s="25" t="s">
        <v>2789</v>
      </c>
      <c r="E1342" s="107">
        <f t="shared" si="104"/>
        <v>1249</v>
      </c>
      <c r="F1342" s="14">
        <f t="shared" si="103"/>
        <v>37</v>
      </c>
      <c r="G1342" s="14" t="s">
        <v>1048</v>
      </c>
      <c r="H1342" s="2">
        <v>37</v>
      </c>
      <c r="J1342" s="174" t="s">
        <v>1271</v>
      </c>
    </row>
    <row r="1343" spans="2:11" x14ac:dyDescent="0.25">
      <c r="B1343" s="261"/>
      <c r="C1343" s="51" t="s">
        <v>2790</v>
      </c>
      <c r="D1343" s="73"/>
      <c r="E1343" s="19"/>
      <c r="F1343" s="14"/>
      <c r="G1343" s="14"/>
    </row>
    <row r="1344" spans="2:11" x14ac:dyDescent="0.25">
      <c r="B1344" s="546" t="str">
        <f>"E "&amp;(RIGHT(B1335,3)+1)</f>
        <v>E 516</v>
      </c>
      <c r="C1344" s="25" t="s">
        <v>2791</v>
      </c>
      <c r="D1344" s="25" t="s">
        <v>2792</v>
      </c>
      <c r="E1344" s="107">
        <f>E1342+1</f>
        <v>1250</v>
      </c>
      <c r="F1344" s="14" t="str">
        <f t="shared" ref="F1344:F1349" si="105">H1344</f>
        <v>12. Bukan Desa Pertanian</v>
      </c>
      <c r="G1344" s="14" t="s">
        <v>45</v>
      </c>
      <c r="H1344" s="2" t="s">
        <v>2793</v>
      </c>
    </row>
    <row r="1345" spans="2:11" x14ac:dyDescent="0.25">
      <c r="B1345" s="547"/>
      <c r="C1345" s="25" t="s">
        <v>2794</v>
      </c>
      <c r="D1345" s="25" t="s">
        <v>2795</v>
      </c>
      <c r="E1345" s="107">
        <f>E1344+1</f>
        <v>1251</v>
      </c>
      <c r="F1345" s="14">
        <f t="shared" si="105"/>
        <v>0</v>
      </c>
      <c r="G1345" s="14" t="s">
        <v>1048</v>
      </c>
      <c r="H1345" s="2">
        <v>0</v>
      </c>
      <c r="J1345" s="174" t="s">
        <v>1271</v>
      </c>
      <c r="K1345" s="385" t="s">
        <v>2796</v>
      </c>
    </row>
    <row r="1346" spans="2:11" x14ac:dyDescent="0.25">
      <c r="B1346" s="547"/>
      <c r="C1346" s="25" t="s">
        <v>2797</v>
      </c>
      <c r="D1346" s="25" t="s">
        <v>2798</v>
      </c>
      <c r="E1346" s="107">
        <f>E1345+1</f>
        <v>1252</v>
      </c>
      <c r="F1346" s="14">
        <f t="shared" si="105"/>
        <v>1</v>
      </c>
      <c r="G1346" s="14" t="s">
        <v>45</v>
      </c>
      <c r="H1346" s="2">
        <v>1</v>
      </c>
    </row>
    <row r="1347" spans="2:11" x14ac:dyDescent="0.25">
      <c r="B1347" s="547"/>
      <c r="C1347" s="25" t="s">
        <v>2799</v>
      </c>
      <c r="D1347" s="25" t="s">
        <v>2800</v>
      </c>
      <c r="E1347" s="107">
        <f>E1346+1</f>
        <v>1253</v>
      </c>
      <c r="F1347" s="14">
        <f t="shared" si="105"/>
        <v>1</v>
      </c>
      <c r="G1347" s="14" t="s">
        <v>1048</v>
      </c>
      <c r="H1347" s="2">
        <v>1</v>
      </c>
      <c r="J1347" s="174" t="s">
        <v>1271</v>
      </c>
      <c r="K1347" s="385" t="s">
        <v>2801</v>
      </c>
    </row>
    <row r="1348" spans="2:11" x14ac:dyDescent="0.25">
      <c r="B1348" s="547"/>
      <c r="C1348" s="25" t="s">
        <v>2802</v>
      </c>
      <c r="D1348" s="25" t="s">
        <v>2803</v>
      </c>
      <c r="E1348" s="107">
        <f>E1347+1</f>
        <v>1254</v>
      </c>
      <c r="F1348" s="14">
        <f t="shared" si="105"/>
        <v>3</v>
      </c>
      <c r="G1348" s="14" t="s">
        <v>45</v>
      </c>
      <c r="H1348" s="2">
        <v>3</v>
      </c>
    </row>
    <row r="1349" spans="2:11" x14ac:dyDescent="0.25">
      <c r="B1349" s="548"/>
      <c r="C1349" s="25" t="s">
        <v>2804</v>
      </c>
      <c r="D1349" s="25" t="s">
        <v>2805</v>
      </c>
      <c r="E1349" s="107">
        <f>E1348+1</f>
        <v>1255</v>
      </c>
      <c r="F1349" s="14">
        <f t="shared" si="105"/>
        <v>5</v>
      </c>
      <c r="G1349" s="14" t="s">
        <v>1048</v>
      </c>
      <c r="H1349" s="2">
        <v>5</v>
      </c>
      <c r="J1349" s="174" t="s">
        <v>1271</v>
      </c>
      <c r="K1349" s="385" t="s">
        <v>2806</v>
      </c>
    </row>
    <row r="1350" spans="2:11" x14ac:dyDescent="0.25">
      <c r="B1350" s="258"/>
      <c r="C1350" s="51" t="s">
        <v>2807</v>
      </c>
      <c r="D1350" s="52"/>
      <c r="E1350" s="105"/>
      <c r="F1350" s="14"/>
      <c r="G1350" s="14"/>
    </row>
    <row r="1351" spans="2:11" x14ac:dyDescent="0.25">
      <c r="B1351" s="546" t="str">
        <f>"E "&amp;(RIGHT(B1344,3)+1)</f>
        <v>E 517</v>
      </c>
      <c r="C1351" s="25" t="s">
        <v>2808</v>
      </c>
      <c r="D1351" s="25" t="s">
        <v>2809</v>
      </c>
      <c r="E1351" s="107">
        <f>E1349+1</f>
        <v>1256</v>
      </c>
      <c r="F1351" s="14">
        <f t="shared" ref="F1351:F1365" si="106">H1351</f>
        <v>1</v>
      </c>
      <c r="G1351" s="14" t="s">
        <v>45</v>
      </c>
      <c r="H1351" s="2">
        <v>1</v>
      </c>
    </row>
    <row r="1352" spans="2:11" x14ac:dyDescent="0.25">
      <c r="B1352" s="548"/>
      <c r="C1352" s="25" t="s">
        <v>2810</v>
      </c>
      <c r="D1352" s="25" t="s">
        <v>2811</v>
      </c>
      <c r="E1352" s="107">
        <f t="shared" ref="E1352:E1365" si="107">E1351+1</f>
        <v>1257</v>
      </c>
      <c r="F1352" s="14">
        <f t="shared" si="106"/>
        <v>20</v>
      </c>
      <c r="G1352" s="14" t="s">
        <v>1151</v>
      </c>
      <c r="H1352" s="9">
        <v>20</v>
      </c>
      <c r="I1352" s="173" t="s">
        <v>2812</v>
      </c>
      <c r="J1352" s="174" t="s">
        <v>2813</v>
      </c>
    </row>
    <row r="1353" spans="2:11" x14ac:dyDescent="0.25">
      <c r="B1353" s="258" t="str">
        <f>"E "&amp;(RIGHT(B1351,3)+1)</f>
        <v>E 518</v>
      </c>
      <c r="C1353" s="25" t="s">
        <v>2814</v>
      </c>
      <c r="D1353" s="25" t="s">
        <v>2815</v>
      </c>
      <c r="E1353" s="107">
        <f t="shared" si="107"/>
        <v>1258</v>
      </c>
      <c r="F1353" s="14">
        <f t="shared" si="106"/>
        <v>0</v>
      </c>
      <c r="G1353" s="14" t="s">
        <v>1048</v>
      </c>
      <c r="H1353" s="2">
        <v>0</v>
      </c>
      <c r="I1353" s="173" t="s">
        <v>2816</v>
      </c>
      <c r="J1353" s="174" t="s">
        <v>1641</v>
      </c>
    </row>
    <row r="1354" spans="2:11" x14ac:dyDescent="0.25">
      <c r="B1354" s="258" t="str">
        <f>"E "&amp;(RIGHT(B1353,3)+1)</f>
        <v>E 519</v>
      </c>
      <c r="C1354" s="25" t="s">
        <v>2817</v>
      </c>
      <c r="D1354" s="25" t="s">
        <v>2818</v>
      </c>
      <c r="E1354" s="107">
        <f t="shared" si="107"/>
        <v>1259</v>
      </c>
      <c r="F1354" s="14">
        <f t="shared" si="106"/>
        <v>1</v>
      </c>
      <c r="G1354" s="14" t="s">
        <v>1048</v>
      </c>
      <c r="H1354" s="2">
        <v>1</v>
      </c>
      <c r="I1354" s="173" t="s">
        <v>2816</v>
      </c>
      <c r="J1354" s="174" t="s">
        <v>1641</v>
      </c>
    </row>
    <row r="1355" spans="2:11" x14ac:dyDescent="0.25">
      <c r="B1355" s="546" t="str">
        <f>"E "&amp;(RIGHT(B1354,3)+1)</f>
        <v>E 520</v>
      </c>
      <c r="C1355" s="25" t="s">
        <v>2819</v>
      </c>
      <c r="D1355" s="25" t="s">
        <v>2820</v>
      </c>
      <c r="E1355" s="107">
        <f t="shared" si="107"/>
        <v>1260</v>
      </c>
      <c r="F1355" s="14">
        <f t="shared" si="106"/>
        <v>0</v>
      </c>
      <c r="G1355" s="14" t="s">
        <v>45</v>
      </c>
      <c r="H1355" s="2">
        <v>0</v>
      </c>
    </row>
    <row r="1356" spans="2:11" x14ac:dyDescent="0.25">
      <c r="B1356" s="548"/>
      <c r="C1356" s="25" t="s">
        <v>2821</v>
      </c>
      <c r="D1356" s="25" t="s">
        <v>2822</v>
      </c>
      <c r="E1356" s="107">
        <f t="shared" si="107"/>
        <v>1261</v>
      </c>
      <c r="F1356" s="14">
        <f t="shared" si="106"/>
        <v>0</v>
      </c>
      <c r="G1356" s="14" t="s">
        <v>1048</v>
      </c>
      <c r="H1356" s="2">
        <v>0</v>
      </c>
      <c r="J1356" s="174" t="s">
        <v>1641</v>
      </c>
      <c r="K1356" s="385" t="s">
        <v>2823</v>
      </c>
    </row>
    <row r="1357" spans="2:11" ht="24" customHeight="1" x14ac:dyDescent="0.25">
      <c r="B1357" s="258" t="str">
        <f>"E "&amp;(RIGHT(B1355,3)+1)</f>
        <v>E 521</v>
      </c>
      <c r="C1357" s="25" t="s">
        <v>2824</v>
      </c>
      <c r="D1357" s="25" t="s">
        <v>2825</v>
      </c>
      <c r="E1357" s="107">
        <f t="shared" si="107"/>
        <v>1262</v>
      </c>
      <c r="F1357" s="14">
        <f t="shared" si="106"/>
        <v>100</v>
      </c>
      <c r="G1357" s="14" t="s">
        <v>1048</v>
      </c>
      <c r="H1357" s="2">
        <v>100</v>
      </c>
      <c r="I1357" s="173" t="s">
        <v>2826</v>
      </c>
      <c r="J1357" s="174" t="s">
        <v>2827</v>
      </c>
    </row>
    <row r="1358" spans="2:11" ht="24" customHeight="1" x14ac:dyDescent="0.25">
      <c r="B1358" s="258" t="str">
        <f>"E "&amp;(RIGHT(B1357,3)+1)</f>
        <v>E 522</v>
      </c>
      <c r="C1358" s="25" t="s">
        <v>2828</v>
      </c>
      <c r="D1358" s="25" t="s">
        <v>2829</v>
      </c>
      <c r="E1358" s="107">
        <f t="shared" si="107"/>
        <v>1263</v>
      </c>
      <c r="F1358" s="14">
        <f t="shared" si="106"/>
        <v>1</v>
      </c>
      <c r="G1358" s="14" t="s">
        <v>45</v>
      </c>
      <c r="H1358" s="2">
        <v>1</v>
      </c>
      <c r="I1358" s="173" t="s">
        <v>2830</v>
      </c>
    </row>
    <row r="1359" spans="2:11" ht="24" customHeight="1" x14ac:dyDescent="0.25">
      <c r="B1359" s="546" t="str">
        <f>"E "&amp;(RIGHT(B1358,3)+1)</f>
        <v>E 523</v>
      </c>
      <c r="C1359" s="25" t="s">
        <v>2831</v>
      </c>
      <c r="D1359" s="25" t="s">
        <v>2832</v>
      </c>
      <c r="E1359" s="107">
        <f t="shared" si="107"/>
        <v>1264</v>
      </c>
      <c r="F1359" s="14">
        <f t="shared" si="106"/>
        <v>1</v>
      </c>
      <c r="G1359" s="14" t="s">
        <v>45</v>
      </c>
      <c r="H1359" s="2">
        <v>1</v>
      </c>
      <c r="I1359" s="173" t="s">
        <v>2830</v>
      </c>
    </row>
    <row r="1360" spans="2:11" x14ac:dyDescent="0.25">
      <c r="B1360" s="547"/>
      <c r="C1360" s="25" t="s">
        <v>2833</v>
      </c>
      <c r="D1360" s="25" t="s">
        <v>2834</v>
      </c>
      <c r="E1360" s="107">
        <f t="shared" si="107"/>
        <v>1265</v>
      </c>
      <c r="F1360" s="67">
        <f t="shared" si="106"/>
        <v>1600</v>
      </c>
      <c r="G1360" s="14" t="s">
        <v>1151</v>
      </c>
      <c r="H1360" s="65">
        <v>1600</v>
      </c>
      <c r="J1360" s="174" t="s">
        <v>2813</v>
      </c>
    </row>
    <row r="1361" spans="2:11" x14ac:dyDescent="0.25">
      <c r="B1361" s="548"/>
      <c r="C1361" s="25" t="s">
        <v>2835</v>
      </c>
      <c r="D1361" s="25" t="s">
        <v>2836</v>
      </c>
      <c r="E1361" s="107">
        <f t="shared" si="107"/>
        <v>1266</v>
      </c>
      <c r="F1361" s="14">
        <f t="shared" si="106"/>
        <v>3</v>
      </c>
      <c r="G1361" s="14" t="s">
        <v>1155</v>
      </c>
      <c r="H1361" s="2">
        <v>3</v>
      </c>
      <c r="J1361" s="174" t="s">
        <v>2837</v>
      </c>
    </row>
    <row r="1362" spans="2:11" x14ac:dyDescent="0.25">
      <c r="B1362" s="258" t="str">
        <f>"E "&amp;(RIGHT(B1359,3)+1)</f>
        <v>E 524</v>
      </c>
      <c r="C1362" s="26" t="s">
        <v>2838</v>
      </c>
      <c r="D1362" s="25" t="s">
        <v>2839</v>
      </c>
      <c r="E1362" s="107">
        <f t="shared" si="107"/>
        <v>1267</v>
      </c>
      <c r="F1362" s="14">
        <f t="shared" si="106"/>
        <v>0</v>
      </c>
      <c r="G1362" s="14" t="s">
        <v>45</v>
      </c>
      <c r="H1362" s="2">
        <v>0</v>
      </c>
    </row>
    <row r="1363" spans="2:11" x14ac:dyDescent="0.25">
      <c r="B1363" s="258" t="str">
        <f>"E "&amp;(RIGHT(B1362,3)+1)</f>
        <v>E 525</v>
      </c>
      <c r="C1363" s="26" t="s">
        <v>2840</v>
      </c>
      <c r="D1363" s="25" t="s">
        <v>2841</v>
      </c>
      <c r="E1363" s="107">
        <f t="shared" si="107"/>
        <v>1268</v>
      </c>
      <c r="F1363" s="14">
        <f t="shared" si="106"/>
        <v>1</v>
      </c>
      <c r="G1363" s="14" t="s">
        <v>45</v>
      </c>
      <c r="H1363" s="2">
        <v>1</v>
      </c>
    </row>
    <row r="1364" spans="2:11" x14ac:dyDescent="0.25">
      <c r="B1364" s="258" t="str">
        <f>"E "&amp;(RIGHT(B1363,3)+1)</f>
        <v>E 526</v>
      </c>
      <c r="C1364" s="26" t="s">
        <v>2842</v>
      </c>
      <c r="D1364" s="25" t="s">
        <v>2843</v>
      </c>
      <c r="E1364" s="107">
        <f t="shared" si="107"/>
        <v>1269</v>
      </c>
      <c r="F1364" s="14">
        <f t="shared" si="106"/>
        <v>3</v>
      </c>
      <c r="G1364" s="14" t="s">
        <v>45</v>
      </c>
      <c r="H1364" s="2">
        <v>3</v>
      </c>
    </row>
    <row r="1365" spans="2:11" x14ac:dyDescent="0.25">
      <c r="B1365" s="258" t="str">
        <f>"E "&amp;(RIGHT(B1364,3)+1)</f>
        <v>E 527</v>
      </c>
      <c r="C1365" s="26" t="s">
        <v>2844</v>
      </c>
      <c r="D1365" s="25" t="s">
        <v>2845</v>
      </c>
      <c r="E1365" s="107">
        <f t="shared" si="107"/>
        <v>1270</v>
      </c>
      <c r="F1365" s="14" t="str">
        <f t="shared" si="106"/>
        <v>Kayu bakar  dan Arang</v>
      </c>
      <c r="G1365" s="14" t="s">
        <v>33</v>
      </c>
      <c r="H1365" s="2" t="s">
        <v>2846</v>
      </c>
    </row>
    <row r="1366" spans="2:11" x14ac:dyDescent="0.25">
      <c r="B1366" s="258"/>
      <c r="C1366" s="51" t="s">
        <v>2847</v>
      </c>
      <c r="D1366" s="52"/>
      <c r="E1366" s="105"/>
      <c r="F1366" s="14"/>
      <c r="G1366" s="14"/>
    </row>
    <row r="1367" spans="2:11" ht="24" customHeight="1" x14ac:dyDescent="0.25">
      <c r="B1367" s="546" t="str">
        <f>"E "&amp;(RIGHT(B1365,3)+1)</f>
        <v>E 528</v>
      </c>
      <c r="C1367" s="33" t="s">
        <v>2848</v>
      </c>
      <c r="D1367" s="25" t="s">
        <v>2849</v>
      </c>
      <c r="E1367" s="107">
        <f>E1365+1</f>
        <v>1271</v>
      </c>
      <c r="F1367" s="14">
        <f>H1367</f>
        <v>0</v>
      </c>
      <c r="G1367" s="14" t="s">
        <v>45</v>
      </c>
      <c r="H1367" s="2">
        <v>0</v>
      </c>
      <c r="I1367" s="173" t="s">
        <v>2850</v>
      </c>
    </row>
    <row r="1368" spans="2:11" x14ac:dyDescent="0.25">
      <c r="B1368" s="548"/>
      <c r="C1368" s="33" t="s">
        <v>2851</v>
      </c>
      <c r="D1368" s="25" t="s">
        <v>2852</v>
      </c>
      <c r="E1368" s="107">
        <f>E1367+1</f>
        <v>1272</v>
      </c>
      <c r="F1368" s="67">
        <f>H1368</f>
        <v>13000</v>
      </c>
      <c r="G1368" s="14" t="s">
        <v>1151</v>
      </c>
      <c r="H1368" s="65">
        <v>13000</v>
      </c>
      <c r="J1368" s="174" t="s">
        <v>2853</v>
      </c>
    </row>
    <row r="1369" spans="2:11" ht="24" customHeight="1" x14ac:dyDescent="0.25">
      <c r="B1369" s="546" t="str">
        <f>"E "&amp;(RIGHT(B1367,3)+1)</f>
        <v>E 529</v>
      </c>
      <c r="C1369" s="33" t="s">
        <v>2854</v>
      </c>
      <c r="D1369" s="25" t="s">
        <v>2855</v>
      </c>
      <c r="E1369" s="107">
        <f>E1368+1</f>
        <v>1273</v>
      </c>
      <c r="F1369" s="14">
        <f>H1369</f>
        <v>1</v>
      </c>
      <c r="G1369" s="14" t="s">
        <v>45</v>
      </c>
      <c r="H1369" s="2">
        <v>1</v>
      </c>
      <c r="I1369" s="173" t="s">
        <v>2850</v>
      </c>
    </row>
    <row r="1370" spans="2:11" x14ac:dyDescent="0.25">
      <c r="B1370" s="548"/>
      <c r="C1370" s="33" t="s">
        <v>2856</v>
      </c>
      <c r="D1370" s="25" t="s">
        <v>2857</v>
      </c>
      <c r="E1370" s="107">
        <f>E1369+1</f>
        <v>1274</v>
      </c>
      <c r="F1370" s="67">
        <f>H1370</f>
        <v>14000</v>
      </c>
      <c r="G1370" s="14" t="s">
        <v>1151</v>
      </c>
      <c r="H1370" s="65">
        <v>14000</v>
      </c>
      <c r="J1370" s="174" t="s">
        <v>2853</v>
      </c>
    </row>
    <row r="1371" spans="2:11" x14ac:dyDescent="0.25">
      <c r="B1371" s="261"/>
      <c r="C1371" s="109" t="s">
        <v>2858</v>
      </c>
      <c r="D1371" s="73"/>
      <c r="E1371" s="133"/>
      <c r="F1371" s="67"/>
      <c r="G1371" s="14"/>
      <c r="H1371" s="142"/>
    </row>
    <row r="1372" spans="2:11" x14ac:dyDescent="0.25">
      <c r="B1372" s="505" t="str">
        <f>"E "&amp;(RIGHT(B1369,3)+1)</f>
        <v>E 530</v>
      </c>
      <c r="C1372" s="69" t="s">
        <v>2859</v>
      </c>
      <c r="D1372" s="25" t="s">
        <v>2860</v>
      </c>
      <c r="E1372" s="107">
        <f>E1370+1</f>
        <v>1275</v>
      </c>
      <c r="F1372" s="67" t="str">
        <f t="shared" ref="F1372:F1383" si="108">H1372</f>
        <v>Tidak Ada</v>
      </c>
      <c r="G1372" s="14" t="s">
        <v>45</v>
      </c>
      <c r="H1372" s="65" t="s">
        <v>64</v>
      </c>
    </row>
    <row r="1373" spans="2:11" x14ac:dyDescent="0.25">
      <c r="B1373" s="505"/>
      <c r="C1373" s="25" t="s">
        <v>2861</v>
      </c>
      <c r="D1373" s="25" t="s">
        <v>2862</v>
      </c>
      <c r="E1373" s="107">
        <f t="shared" ref="E1373:E1383" si="109">E1372+1</f>
        <v>1276</v>
      </c>
      <c r="F1373" s="67">
        <f t="shared" si="108"/>
        <v>0</v>
      </c>
      <c r="G1373" s="14" t="s">
        <v>1048</v>
      </c>
      <c r="H1373" s="65">
        <v>0</v>
      </c>
      <c r="J1373" s="174" t="s">
        <v>1235</v>
      </c>
      <c r="K1373" s="385" t="s">
        <v>2863</v>
      </c>
    </row>
    <row r="1374" spans="2:11" x14ac:dyDescent="0.25">
      <c r="B1374" s="505"/>
      <c r="C1374" s="25" t="s">
        <v>2864</v>
      </c>
      <c r="D1374" s="25" t="s">
        <v>2865</v>
      </c>
      <c r="E1374" s="107">
        <f t="shared" si="109"/>
        <v>1277</v>
      </c>
      <c r="F1374" s="67">
        <f t="shared" si="108"/>
        <v>0</v>
      </c>
      <c r="G1374" s="14" t="s">
        <v>2866</v>
      </c>
      <c r="H1374" s="65">
        <v>0</v>
      </c>
      <c r="J1374" s="174" t="s">
        <v>571</v>
      </c>
      <c r="K1374" s="385" t="s">
        <v>2863</v>
      </c>
    </row>
    <row r="1375" spans="2:11" x14ac:dyDescent="0.25">
      <c r="B1375" s="505"/>
      <c r="C1375" s="25" t="s">
        <v>2867</v>
      </c>
      <c r="D1375" s="25" t="s">
        <v>2868</v>
      </c>
      <c r="E1375" s="107">
        <f t="shared" si="109"/>
        <v>1278</v>
      </c>
      <c r="F1375" s="67">
        <f t="shared" si="108"/>
        <v>0</v>
      </c>
      <c r="G1375" s="14" t="s">
        <v>2869</v>
      </c>
      <c r="H1375" s="65">
        <v>0</v>
      </c>
      <c r="J1375" s="174" t="s">
        <v>865</v>
      </c>
      <c r="K1375" s="385" t="s">
        <v>2863</v>
      </c>
    </row>
    <row r="1376" spans="2:11" x14ac:dyDescent="0.25">
      <c r="B1376" s="505" t="str">
        <f>"E "&amp;(RIGHT(B1372,3)+1)</f>
        <v>E 531</v>
      </c>
      <c r="C1376" s="69" t="s">
        <v>2870</v>
      </c>
      <c r="D1376" s="25" t="s">
        <v>2871</v>
      </c>
      <c r="E1376" s="107">
        <f t="shared" si="109"/>
        <v>1279</v>
      </c>
      <c r="F1376" s="67" t="str">
        <f t="shared" si="108"/>
        <v>Tidak Ada</v>
      </c>
      <c r="G1376" s="14" t="s">
        <v>45</v>
      </c>
      <c r="H1376" s="65" t="s">
        <v>64</v>
      </c>
    </row>
    <row r="1377" spans="2:11" x14ac:dyDescent="0.25">
      <c r="B1377" s="505"/>
      <c r="C1377" s="25" t="s">
        <v>2872</v>
      </c>
      <c r="D1377" s="25" t="s">
        <v>2873</v>
      </c>
      <c r="E1377" s="107">
        <f t="shared" si="109"/>
        <v>1280</v>
      </c>
      <c r="F1377" s="67">
        <f t="shared" si="108"/>
        <v>0</v>
      </c>
      <c r="G1377" s="14" t="s">
        <v>1048</v>
      </c>
      <c r="H1377" s="65">
        <v>0</v>
      </c>
      <c r="J1377" s="174" t="s">
        <v>1235</v>
      </c>
      <c r="K1377" s="385" t="s">
        <v>2874</v>
      </c>
    </row>
    <row r="1378" spans="2:11" x14ac:dyDescent="0.25">
      <c r="B1378" s="505"/>
      <c r="C1378" s="25" t="s">
        <v>2875</v>
      </c>
      <c r="D1378" s="25" t="s">
        <v>2876</v>
      </c>
      <c r="E1378" s="107">
        <f t="shared" si="109"/>
        <v>1281</v>
      </c>
      <c r="F1378" s="67">
        <f t="shared" si="108"/>
        <v>0</v>
      </c>
      <c r="G1378" s="14" t="s">
        <v>2866</v>
      </c>
      <c r="H1378" s="65">
        <v>0</v>
      </c>
      <c r="J1378" s="174" t="s">
        <v>571</v>
      </c>
      <c r="K1378" s="385" t="s">
        <v>2874</v>
      </c>
    </row>
    <row r="1379" spans="2:11" x14ac:dyDescent="0.25">
      <c r="B1379" s="505"/>
      <c r="C1379" s="25" t="s">
        <v>2877</v>
      </c>
      <c r="D1379" s="25" t="s">
        <v>2878</v>
      </c>
      <c r="E1379" s="107">
        <f t="shared" si="109"/>
        <v>1282</v>
      </c>
      <c r="F1379" s="67">
        <f t="shared" si="108"/>
        <v>0</v>
      </c>
      <c r="G1379" s="14" t="s">
        <v>2869</v>
      </c>
      <c r="H1379" s="65">
        <v>0</v>
      </c>
      <c r="J1379" s="174" t="s">
        <v>865</v>
      </c>
      <c r="K1379" s="385" t="s">
        <v>2874</v>
      </c>
    </row>
    <row r="1380" spans="2:11" x14ac:dyDescent="0.25">
      <c r="B1380" s="505" t="str">
        <f>"E "&amp;(RIGHT(B1376,3)+1)</f>
        <v>E 532</v>
      </c>
      <c r="C1380" s="69" t="s">
        <v>2879</v>
      </c>
      <c r="D1380" s="25" t="s">
        <v>2880</v>
      </c>
      <c r="E1380" s="107">
        <f t="shared" si="109"/>
        <v>1283</v>
      </c>
      <c r="F1380" s="67" t="str">
        <f t="shared" si="108"/>
        <v>Tidak Ada</v>
      </c>
      <c r="G1380" s="14" t="s">
        <v>45</v>
      </c>
      <c r="H1380" s="65" t="s">
        <v>64</v>
      </c>
    </row>
    <row r="1381" spans="2:11" x14ac:dyDescent="0.25">
      <c r="B1381" s="505"/>
      <c r="C1381" s="25" t="s">
        <v>2881</v>
      </c>
      <c r="D1381" s="25" t="s">
        <v>2882</v>
      </c>
      <c r="E1381" s="107">
        <f t="shared" si="109"/>
        <v>1284</v>
      </c>
      <c r="F1381" s="67">
        <f t="shared" si="108"/>
        <v>0</v>
      </c>
      <c r="G1381" s="14" t="s">
        <v>1048</v>
      </c>
      <c r="H1381" s="65">
        <v>0</v>
      </c>
      <c r="J1381" s="174" t="s">
        <v>1235</v>
      </c>
      <c r="K1381" s="385" t="s">
        <v>2883</v>
      </c>
    </row>
    <row r="1382" spans="2:11" x14ac:dyDescent="0.25">
      <c r="B1382" s="505"/>
      <c r="C1382" s="25" t="s">
        <v>2884</v>
      </c>
      <c r="D1382" s="25" t="s">
        <v>2885</v>
      </c>
      <c r="E1382" s="107">
        <f t="shared" si="109"/>
        <v>1285</v>
      </c>
      <c r="F1382" s="67">
        <f t="shared" si="108"/>
        <v>0</v>
      </c>
      <c r="G1382" s="14" t="s">
        <v>2866</v>
      </c>
      <c r="H1382" s="65">
        <v>0</v>
      </c>
      <c r="J1382" s="174" t="s">
        <v>571</v>
      </c>
      <c r="K1382" s="385" t="s">
        <v>2883</v>
      </c>
    </row>
    <row r="1383" spans="2:11" x14ac:dyDescent="0.25">
      <c r="B1383" s="505"/>
      <c r="C1383" s="25" t="s">
        <v>2886</v>
      </c>
      <c r="D1383" s="25" t="s">
        <v>2887</v>
      </c>
      <c r="E1383" s="107">
        <f t="shared" si="109"/>
        <v>1286</v>
      </c>
      <c r="F1383" s="67">
        <f t="shared" si="108"/>
        <v>0</v>
      </c>
      <c r="G1383" s="14" t="s">
        <v>2869</v>
      </c>
      <c r="H1383" s="65">
        <v>0</v>
      </c>
      <c r="J1383" s="174" t="s">
        <v>865</v>
      </c>
      <c r="K1383" s="385" t="s">
        <v>2883</v>
      </c>
    </row>
    <row r="1384" spans="2:11" x14ac:dyDescent="0.25">
      <c r="B1384" s="258"/>
      <c r="C1384" s="51" t="s">
        <v>2888</v>
      </c>
      <c r="D1384" s="52"/>
      <c r="E1384" s="105"/>
      <c r="F1384" s="14"/>
      <c r="G1384" s="14"/>
    </row>
    <row r="1385" spans="2:11" x14ac:dyDescent="0.25">
      <c r="B1385" s="546" t="str">
        <f>"E "&amp;(RIGHT(B1380,3)+1)</f>
        <v>E 533</v>
      </c>
      <c r="C1385" s="33" t="s">
        <v>2889</v>
      </c>
      <c r="D1385" s="25" t="s">
        <v>2890</v>
      </c>
      <c r="E1385" s="107">
        <f>E1383+1</f>
        <v>1287</v>
      </c>
      <c r="F1385" s="14">
        <f t="shared" ref="F1385:F1394" si="110">H1385</f>
        <v>1</v>
      </c>
      <c r="G1385" s="14" t="s">
        <v>45</v>
      </c>
      <c r="H1385" s="2">
        <v>1</v>
      </c>
      <c r="I1385" s="173" t="s">
        <v>2891</v>
      </c>
    </row>
    <row r="1386" spans="2:11" x14ac:dyDescent="0.25">
      <c r="B1386" s="548"/>
      <c r="C1386" s="33" t="s">
        <v>2892</v>
      </c>
      <c r="D1386" s="25" t="s">
        <v>2893</v>
      </c>
      <c r="E1386" s="107">
        <f t="shared" ref="E1386:E1394" si="111">E1385+1</f>
        <v>1288</v>
      </c>
      <c r="F1386" s="67">
        <f t="shared" si="110"/>
        <v>14000</v>
      </c>
      <c r="G1386" s="14" t="s">
        <v>1151</v>
      </c>
      <c r="H1386" s="65">
        <v>14000</v>
      </c>
      <c r="J1386" s="174" t="s">
        <v>2853</v>
      </c>
    </row>
    <row r="1387" spans="2:11" x14ac:dyDescent="0.25">
      <c r="B1387" s="546" t="str">
        <f>"E "&amp;(RIGHT(B1385,3)+1)</f>
        <v>E 534</v>
      </c>
      <c r="C1387" s="33" t="s">
        <v>2894</v>
      </c>
      <c r="D1387" s="25" t="s">
        <v>2895</v>
      </c>
      <c r="E1387" s="107">
        <f t="shared" si="111"/>
        <v>1289</v>
      </c>
      <c r="F1387" s="14">
        <f t="shared" si="110"/>
        <v>0</v>
      </c>
      <c r="G1387" s="14" t="s">
        <v>45</v>
      </c>
      <c r="H1387" s="2">
        <v>0</v>
      </c>
      <c r="I1387" s="173" t="s">
        <v>2891</v>
      </c>
    </row>
    <row r="1388" spans="2:11" x14ac:dyDescent="0.25">
      <c r="B1388" s="548"/>
      <c r="C1388" s="33" t="s">
        <v>2896</v>
      </c>
      <c r="D1388" s="25" t="s">
        <v>2897</v>
      </c>
      <c r="E1388" s="107">
        <f t="shared" si="111"/>
        <v>1290</v>
      </c>
      <c r="F1388" s="67">
        <f t="shared" si="110"/>
        <v>0</v>
      </c>
      <c r="G1388" s="14" t="s">
        <v>1151</v>
      </c>
      <c r="H1388" s="4">
        <v>0</v>
      </c>
      <c r="J1388" s="174" t="s">
        <v>2853</v>
      </c>
    </row>
    <row r="1389" spans="2:11" x14ac:dyDescent="0.25">
      <c r="B1389" s="258" t="str">
        <f>"E "&amp;(RIGHT(B1387,3)+1)</f>
        <v>E 535</v>
      </c>
      <c r="C1389" s="25" t="s">
        <v>2898</v>
      </c>
      <c r="D1389" s="25" t="s">
        <v>2899</v>
      </c>
      <c r="E1389" s="107">
        <f t="shared" si="111"/>
        <v>1291</v>
      </c>
      <c r="F1389" s="14">
        <f t="shared" si="110"/>
        <v>1</v>
      </c>
      <c r="G1389" s="14" t="s">
        <v>45</v>
      </c>
      <c r="H1389" s="2">
        <v>1</v>
      </c>
      <c r="I1389" s="173" t="s">
        <v>2891</v>
      </c>
      <c r="J1389" s="452"/>
    </row>
    <row r="1390" spans="2:11" x14ac:dyDescent="0.25">
      <c r="B1390" s="546" t="str">
        <f>"E "&amp;(RIGHT(B1389,3)+1)</f>
        <v>E 536</v>
      </c>
      <c r="C1390" s="25" t="s">
        <v>2900</v>
      </c>
      <c r="D1390" s="25" t="s">
        <v>2901</v>
      </c>
      <c r="E1390" s="107">
        <f t="shared" si="111"/>
        <v>1292</v>
      </c>
      <c r="F1390" s="14">
        <f t="shared" si="110"/>
        <v>1</v>
      </c>
      <c r="G1390" s="14" t="s">
        <v>45</v>
      </c>
      <c r="H1390" s="2">
        <v>1</v>
      </c>
      <c r="I1390" s="173" t="s">
        <v>2902</v>
      </c>
      <c r="J1390" s="452"/>
    </row>
    <row r="1391" spans="2:11" x14ac:dyDescent="0.25">
      <c r="B1391" s="547"/>
      <c r="C1391" s="25" t="s">
        <v>2903</v>
      </c>
      <c r="D1391" s="25" t="s">
        <v>2904</v>
      </c>
      <c r="E1391" s="107">
        <f t="shared" si="111"/>
        <v>1293</v>
      </c>
      <c r="F1391" s="14">
        <f t="shared" si="110"/>
        <v>0</v>
      </c>
      <c r="G1391" s="14" t="s">
        <v>45</v>
      </c>
      <c r="H1391" s="2">
        <v>0</v>
      </c>
      <c r="I1391" s="173" t="s">
        <v>2902</v>
      </c>
      <c r="J1391" s="452"/>
    </row>
    <row r="1392" spans="2:11" x14ac:dyDescent="0.25">
      <c r="B1392" s="547"/>
      <c r="C1392" s="25" t="s">
        <v>2905</v>
      </c>
      <c r="D1392" s="25" t="s">
        <v>2906</v>
      </c>
      <c r="E1392" s="107">
        <f t="shared" si="111"/>
        <v>1294</v>
      </c>
      <c r="F1392" s="14">
        <f t="shared" si="110"/>
        <v>0</v>
      </c>
      <c r="G1392" s="14" t="s">
        <v>45</v>
      </c>
      <c r="H1392" s="2">
        <v>0</v>
      </c>
      <c r="I1392" s="173" t="s">
        <v>2902</v>
      </c>
      <c r="J1392" s="452"/>
    </row>
    <row r="1393" spans="2:11" x14ac:dyDescent="0.25">
      <c r="B1393" s="547"/>
      <c r="C1393" s="33" t="s">
        <v>2907</v>
      </c>
      <c r="D1393" s="25" t="s">
        <v>2908</v>
      </c>
      <c r="E1393" s="107">
        <f t="shared" si="111"/>
        <v>1295</v>
      </c>
      <c r="F1393" s="14">
        <f t="shared" si="110"/>
        <v>0</v>
      </c>
      <c r="G1393" s="14" t="s">
        <v>45</v>
      </c>
      <c r="H1393" s="2">
        <v>0</v>
      </c>
      <c r="I1393" s="173" t="s">
        <v>2902</v>
      </c>
      <c r="J1393" s="452"/>
    </row>
    <row r="1394" spans="2:11" x14ac:dyDescent="0.25">
      <c r="B1394" s="548"/>
      <c r="C1394" s="34"/>
      <c r="D1394" s="25" t="s">
        <v>2909</v>
      </c>
      <c r="E1394" s="107">
        <f t="shared" si="111"/>
        <v>1296</v>
      </c>
      <c r="F1394" s="14" t="str">
        <f t="shared" si="110"/>
        <v>Tidak Ada</v>
      </c>
      <c r="G1394" s="14" t="s">
        <v>33</v>
      </c>
      <c r="H1394" s="2" t="s">
        <v>64</v>
      </c>
      <c r="J1394" s="452"/>
    </row>
    <row r="1395" spans="2:11" x14ac:dyDescent="0.25">
      <c r="B1395" s="258"/>
      <c r="C1395" s="51" t="s">
        <v>2910</v>
      </c>
      <c r="D1395" s="52"/>
      <c r="E1395" s="105"/>
      <c r="F1395" s="14"/>
      <c r="G1395" s="14"/>
      <c r="J1395" s="452"/>
    </row>
    <row r="1396" spans="2:11" ht="24" customHeight="1" x14ac:dyDescent="0.25">
      <c r="B1396" s="258" t="str">
        <f>"E "&amp;(RIGHT(B1390,3)+1)</f>
        <v>E 537</v>
      </c>
      <c r="C1396" s="25" t="s">
        <v>2911</v>
      </c>
      <c r="D1396" s="25" t="s">
        <v>2912</v>
      </c>
      <c r="E1396" s="107">
        <f>E1394+1</f>
        <v>1297</v>
      </c>
      <c r="F1396" s="14">
        <f>H1396</f>
        <v>0</v>
      </c>
      <c r="G1396" s="14" t="s">
        <v>1048</v>
      </c>
      <c r="H1396" s="2">
        <v>0</v>
      </c>
      <c r="I1396" s="173" t="s">
        <v>2913</v>
      </c>
      <c r="J1396" s="174" t="s">
        <v>1641</v>
      </c>
    </row>
    <row r="1397" spans="2:11" ht="24" customHeight="1" x14ac:dyDescent="0.25">
      <c r="B1397" s="505" t="str">
        <f>"E "&amp;(RIGHT(B1396,3)+1)</f>
        <v>E 538</v>
      </c>
      <c r="C1397" s="69" t="s">
        <v>2914</v>
      </c>
      <c r="D1397" s="25" t="s">
        <v>2915</v>
      </c>
      <c r="E1397" s="107">
        <f t="shared" ref="E1397:E1428" si="112">E1396+1</f>
        <v>1298</v>
      </c>
      <c r="F1397" s="14">
        <f>H1397</f>
        <v>1</v>
      </c>
      <c r="G1397" s="14" t="s">
        <v>45</v>
      </c>
      <c r="H1397" s="2">
        <v>1</v>
      </c>
      <c r="I1397" s="173" t="s">
        <v>2913</v>
      </c>
      <c r="J1397" s="452"/>
    </row>
    <row r="1398" spans="2:11" x14ac:dyDescent="0.25">
      <c r="B1398" s="505"/>
      <c r="C1398" s="25" t="s">
        <v>2916</v>
      </c>
      <c r="D1398" s="25" t="s">
        <v>2917</v>
      </c>
      <c r="E1398" s="107">
        <f t="shared" si="112"/>
        <v>1299</v>
      </c>
      <c r="F1398" s="14" t="str">
        <f>H1398</f>
        <v>Berdaya Bira</v>
      </c>
      <c r="G1398" s="14" t="s">
        <v>33</v>
      </c>
      <c r="H1398" s="2" t="s">
        <v>2918</v>
      </c>
      <c r="J1398" s="452"/>
    </row>
    <row r="1399" spans="2:11" s="6" customFormat="1" x14ac:dyDescent="0.25">
      <c r="B1399" s="505"/>
      <c r="C1399" s="25" t="s">
        <v>2919</v>
      </c>
      <c r="D1399" s="25" t="s">
        <v>2920</v>
      </c>
      <c r="E1399" s="107">
        <f t="shared" si="112"/>
        <v>1300</v>
      </c>
      <c r="F1399" s="14">
        <f>H1399</f>
        <v>1</v>
      </c>
      <c r="G1399" s="14" t="s">
        <v>45</v>
      </c>
      <c r="H1399" s="2">
        <v>1</v>
      </c>
      <c r="I1399" s="173"/>
      <c r="J1399" s="452"/>
      <c r="K1399" s="174" t="s">
        <v>2921</v>
      </c>
    </row>
    <row r="1400" spans="2:11" s="6" customFormat="1" x14ac:dyDescent="0.25">
      <c r="B1400" s="505" t="str">
        <f>"E "&amp;(RIGHT(B1397,3)+1)</f>
        <v>E 539</v>
      </c>
      <c r="C1400" s="69" t="s">
        <v>2922</v>
      </c>
      <c r="D1400" s="25" t="s">
        <v>2923</v>
      </c>
      <c r="E1400" s="107">
        <f t="shared" si="112"/>
        <v>1301</v>
      </c>
      <c r="F1400" s="14">
        <f>H1400</f>
        <v>1</v>
      </c>
      <c r="G1400" s="14" t="s">
        <v>45</v>
      </c>
      <c r="H1400" s="2">
        <v>1</v>
      </c>
      <c r="I1400" s="173"/>
      <c r="J1400" s="453"/>
      <c r="K1400" s="174"/>
    </row>
    <row r="1401" spans="2:11" s="6" customFormat="1" x14ac:dyDescent="0.25">
      <c r="B1401" s="505"/>
      <c r="C1401" s="25" t="s">
        <v>2924</v>
      </c>
      <c r="D1401" s="25" t="s">
        <v>2925</v>
      </c>
      <c r="E1401" s="107">
        <f t="shared" si="112"/>
        <v>1302</v>
      </c>
      <c r="F1401" s="14">
        <v>0</v>
      </c>
      <c r="G1401" s="14" t="s">
        <v>33</v>
      </c>
      <c r="H1401" s="2" t="s">
        <v>2926</v>
      </c>
      <c r="I1401" s="173"/>
      <c r="J1401" s="453"/>
      <c r="K1401" s="174"/>
    </row>
    <row r="1402" spans="2:11" s="6" customFormat="1" x14ac:dyDescent="0.25">
      <c r="B1402" s="505"/>
      <c r="C1402" s="25" t="s">
        <v>2927</v>
      </c>
      <c r="D1402" s="25" t="s">
        <v>2928</v>
      </c>
      <c r="E1402" s="107">
        <f t="shared" si="112"/>
        <v>1303</v>
      </c>
      <c r="F1402" s="14">
        <f t="shared" ref="F1402:F1433" si="113">H1402</f>
        <v>1</v>
      </c>
      <c r="G1402" s="14" t="s">
        <v>45</v>
      </c>
      <c r="H1402" s="2">
        <v>1</v>
      </c>
      <c r="I1402" s="173"/>
      <c r="J1402" s="453"/>
      <c r="K1402" s="174"/>
    </row>
    <row r="1403" spans="2:11" s="6" customFormat="1" x14ac:dyDescent="0.25">
      <c r="B1403" s="505"/>
      <c r="C1403" s="25" t="s">
        <v>2929</v>
      </c>
      <c r="D1403" s="25" t="s">
        <v>2930</v>
      </c>
      <c r="E1403" s="107">
        <f t="shared" si="112"/>
        <v>1304</v>
      </c>
      <c r="F1403" s="14">
        <f t="shared" si="113"/>
        <v>1</v>
      </c>
      <c r="G1403" s="14" t="s">
        <v>45</v>
      </c>
      <c r="H1403" s="2">
        <v>1</v>
      </c>
      <c r="I1403" s="173"/>
      <c r="J1403" s="453"/>
      <c r="K1403" s="174" t="s">
        <v>2931</v>
      </c>
    </row>
    <row r="1404" spans="2:11" s="6" customFormat="1" x14ac:dyDescent="0.25">
      <c r="B1404" s="505" t="str">
        <f>"E "&amp;(RIGHT(B1400,3)+1)</f>
        <v>E 540</v>
      </c>
      <c r="C1404" s="69" t="s">
        <v>2932</v>
      </c>
      <c r="D1404" s="25" t="s">
        <v>2933</v>
      </c>
      <c r="E1404" s="107">
        <f t="shared" si="112"/>
        <v>1305</v>
      </c>
      <c r="F1404" s="14">
        <f t="shared" si="113"/>
        <v>1</v>
      </c>
      <c r="G1404" s="14" t="s">
        <v>45</v>
      </c>
      <c r="H1404" s="2">
        <v>1</v>
      </c>
      <c r="I1404" s="173"/>
      <c r="K1404" s="174" t="s">
        <v>2921</v>
      </c>
    </row>
    <row r="1405" spans="2:11" s="6" customFormat="1" x14ac:dyDescent="0.25">
      <c r="B1405" s="505"/>
      <c r="C1405" s="25" t="s">
        <v>2934</v>
      </c>
      <c r="D1405" s="25" t="s">
        <v>2935</v>
      </c>
      <c r="E1405" s="107">
        <f t="shared" si="112"/>
        <v>1306</v>
      </c>
      <c r="F1405" s="14">
        <f t="shared" si="113"/>
        <v>1</v>
      </c>
      <c r="G1405" s="14" t="s">
        <v>45</v>
      </c>
      <c r="H1405" s="2">
        <v>1</v>
      </c>
      <c r="I1405" s="173"/>
      <c r="K1405" s="174" t="s">
        <v>2936</v>
      </c>
    </row>
    <row r="1406" spans="2:11" s="6" customFormat="1" x14ac:dyDescent="0.25">
      <c r="B1406" s="505"/>
      <c r="C1406" s="25" t="s">
        <v>2937</v>
      </c>
      <c r="D1406" s="25" t="s">
        <v>2938</v>
      </c>
      <c r="E1406" s="107">
        <f t="shared" si="112"/>
        <v>1307</v>
      </c>
      <c r="F1406" s="14">
        <f t="shared" si="113"/>
        <v>0</v>
      </c>
      <c r="G1406" s="14" t="s">
        <v>45</v>
      </c>
      <c r="H1406" s="2">
        <v>0</v>
      </c>
      <c r="I1406" s="173"/>
      <c r="K1406" s="174" t="s">
        <v>2936</v>
      </c>
    </row>
    <row r="1407" spans="2:11" s="6" customFormat="1" x14ac:dyDescent="0.25">
      <c r="B1407" s="505"/>
      <c r="C1407" s="25" t="s">
        <v>2939</v>
      </c>
      <c r="D1407" s="25" t="s">
        <v>2940</v>
      </c>
      <c r="E1407" s="107">
        <f t="shared" si="112"/>
        <v>1308</v>
      </c>
      <c r="F1407" s="14">
        <f t="shared" si="113"/>
        <v>1</v>
      </c>
      <c r="G1407" s="14" t="s">
        <v>45</v>
      </c>
      <c r="H1407" s="2">
        <v>1</v>
      </c>
      <c r="I1407" s="173"/>
      <c r="K1407" s="174" t="s">
        <v>2936</v>
      </c>
    </row>
    <row r="1408" spans="2:11" s="6" customFormat="1" x14ac:dyDescent="0.25">
      <c r="B1408" s="505"/>
      <c r="C1408" s="25" t="s">
        <v>2941</v>
      </c>
      <c r="D1408" s="25" t="s">
        <v>2942</v>
      </c>
      <c r="E1408" s="107">
        <f t="shared" si="112"/>
        <v>1309</v>
      </c>
      <c r="F1408" s="14">
        <f t="shared" si="113"/>
        <v>1</v>
      </c>
      <c r="G1408" s="14" t="s">
        <v>45</v>
      </c>
      <c r="H1408" s="2">
        <v>1</v>
      </c>
      <c r="I1408" s="173"/>
      <c r="K1408" s="174" t="s">
        <v>2936</v>
      </c>
    </row>
    <row r="1409" spans="2:11" s="6" customFormat="1" x14ac:dyDescent="0.25">
      <c r="B1409" s="505" t="str">
        <f>"E "&amp;(RIGHT(B1404,3)+1)</f>
        <v>E 541</v>
      </c>
      <c r="C1409" s="69" t="s">
        <v>2943</v>
      </c>
      <c r="D1409" s="25" t="s">
        <v>2944</v>
      </c>
      <c r="E1409" s="107">
        <f t="shared" si="112"/>
        <v>1310</v>
      </c>
      <c r="F1409" s="14">
        <f t="shared" si="113"/>
        <v>1</v>
      </c>
      <c r="G1409" s="14" t="s">
        <v>45</v>
      </c>
      <c r="H1409" s="2">
        <v>1</v>
      </c>
      <c r="I1409" s="173"/>
      <c r="K1409" s="174" t="s">
        <v>2921</v>
      </c>
    </row>
    <row r="1410" spans="2:11" s="6" customFormat="1" x14ac:dyDescent="0.25">
      <c r="B1410" s="505"/>
      <c r="C1410" s="25" t="s">
        <v>2945</v>
      </c>
      <c r="D1410" s="25" t="s">
        <v>2946</v>
      </c>
      <c r="E1410" s="107">
        <f t="shared" si="112"/>
        <v>1311</v>
      </c>
      <c r="F1410" s="14">
        <f t="shared" si="113"/>
        <v>1</v>
      </c>
      <c r="G1410" s="14" t="s">
        <v>45</v>
      </c>
      <c r="H1410" s="2">
        <v>1</v>
      </c>
      <c r="I1410" s="173"/>
      <c r="K1410" s="174" t="s">
        <v>2947</v>
      </c>
    </row>
    <row r="1411" spans="2:11" s="6" customFormat="1" x14ac:dyDescent="0.25">
      <c r="B1411" s="505"/>
      <c r="C1411" s="25" t="s">
        <v>2948</v>
      </c>
      <c r="D1411" s="25" t="s">
        <v>2949</v>
      </c>
      <c r="E1411" s="107">
        <f t="shared" si="112"/>
        <v>1312</v>
      </c>
      <c r="F1411" s="14">
        <f t="shared" si="113"/>
        <v>1</v>
      </c>
      <c r="G1411" s="14" t="s">
        <v>45</v>
      </c>
      <c r="H1411" s="2">
        <v>1</v>
      </c>
      <c r="I1411" s="173"/>
      <c r="K1411" s="174" t="s">
        <v>2947</v>
      </c>
    </row>
    <row r="1412" spans="2:11" s="6" customFormat="1" x14ac:dyDescent="0.25">
      <c r="B1412" s="505"/>
      <c r="C1412" s="25" t="s">
        <v>2950</v>
      </c>
      <c r="D1412" s="25" t="s">
        <v>2951</v>
      </c>
      <c r="E1412" s="107">
        <f t="shared" si="112"/>
        <v>1313</v>
      </c>
      <c r="F1412" s="14">
        <f t="shared" si="113"/>
        <v>1</v>
      </c>
      <c r="G1412" s="14" t="s">
        <v>45</v>
      </c>
      <c r="H1412" s="2">
        <v>1</v>
      </c>
      <c r="I1412" s="173"/>
      <c r="K1412" s="174" t="s">
        <v>2947</v>
      </c>
    </row>
    <row r="1413" spans="2:11" s="6" customFormat="1" x14ac:dyDescent="0.25">
      <c r="B1413" s="505"/>
      <c r="C1413" s="25" t="s">
        <v>2952</v>
      </c>
      <c r="D1413" s="25" t="s">
        <v>2953</v>
      </c>
      <c r="E1413" s="107">
        <f t="shared" si="112"/>
        <v>1314</v>
      </c>
      <c r="F1413" s="14">
        <f t="shared" si="113"/>
        <v>1</v>
      </c>
      <c r="G1413" s="14" t="s">
        <v>45</v>
      </c>
      <c r="H1413" s="2">
        <v>1</v>
      </c>
      <c r="I1413" s="173"/>
      <c r="K1413" s="174" t="s">
        <v>2947</v>
      </c>
    </row>
    <row r="1414" spans="2:11" s="6" customFormat="1" x14ac:dyDescent="0.25">
      <c r="B1414" s="505" t="str">
        <f>"E "&amp;(RIGHT(B1409,3)+1)</f>
        <v>E 542</v>
      </c>
      <c r="C1414" s="69" t="s">
        <v>2954</v>
      </c>
      <c r="D1414" s="25" t="s">
        <v>2955</v>
      </c>
      <c r="E1414" s="107">
        <f t="shared" si="112"/>
        <v>1315</v>
      </c>
      <c r="F1414" s="14">
        <f t="shared" si="113"/>
        <v>0</v>
      </c>
      <c r="G1414" s="14" t="s">
        <v>45</v>
      </c>
      <c r="H1414" s="2">
        <v>0</v>
      </c>
      <c r="I1414" s="173"/>
      <c r="K1414" s="174" t="s">
        <v>2921</v>
      </c>
    </row>
    <row r="1415" spans="2:11" s="6" customFormat="1" x14ac:dyDescent="0.25">
      <c r="B1415" s="505"/>
      <c r="C1415" s="25" t="s">
        <v>2956</v>
      </c>
      <c r="D1415" s="25" t="s">
        <v>2957</v>
      </c>
      <c r="E1415" s="107">
        <f t="shared" si="112"/>
        <v>1316</v>
      </c>
      <c r="F1415" s="14">
        <f t="shared" si="113"/>
        <v>0</v>
      </c>
      <c r="G1415" s="14" t="s">
        <v>45</v>
      </c>
      <c r="H1415" s="2">
        <v>0</v>
      </c>
      <c r="I1415" s="173"/>
      <c r="K1415" s="174" t="s">
        <v>2958</v>
      </c>
    </row>
    <row r="1416" spans="2:11" s="6" customFormat="1" x14ac:dyDescent="0.25">
      <c r="B1416" s="505"/>
      <c r="C1416" s="25" t="s">
        <v>2959</v>
      </c>
      <c r="D1416" s="25" t="s">
        <v>2960</v>
      </c>
      <c r="E1416" s="107">
        <f t="shared" si="112"/>
        <v>1317</v>
      </c>
      <c r="F1416" s="14" t="str">
        <f t="shared" si="113"/>
        <v>Tidak Ada</v>
      </c>
      <c r="G1416" s="14" t="s">
        <v>33</v>
      </c>
      <c r="H1416" s="2" t="s">
        <v>64</v>
      </c>
      <c r="I1416" s="173"/>
      <c r="K1416" s="174" t="s">
        <v>2958</v>
      </c>
    </row>
    <row r="1417" spans="2:11" s="6" customFormat="1" x14ac:dyDescent="0.25">
      <c r="B1417" s="505"/>
      <c r="C1417" s="25" t="s">
        <v>2961</v>
      </c>
      <c r="D1417" s="25" t="s">
        <v>2962</v>
      </c>
      <c r="E1417" s="107">
        <f t="shared" si="112"/>
        <v>1318</v>
      </c>
      <c r="F1417" s="14">
        <f t="shared" si="113"/>
        <v>0</v>
      </c>
      <c r="G1417" s="14" t="s">
        <v>45</v>
      </c>
      <c r="H1417" s="2">
        <v>0</v>
      </c>
      <c r="I1417" s="173"/>
      <c r="K1417" s="174" t="s">
        <v>2958</v>
      </c>
    </row>
    <row r="1418" spans="2:11" s="6" customFormat="1" x14ac:dyDescent="0.25">
      <c r="B1418" s="505"/>
      <c r="C1418" s="25" t="s">
        <v>2963</v>
      </c>
      <c r="D1418" s="25" t="s">
        <v>2964</v>
      </c>
      <c r="E1418" s="107">
        <f t="shared" si="112"/>
        <v>1319</v>
      </c>
      <c r="F1418" s="14" t="str">
        <f t="shared" si="113"/>
        <v>Tidak Ada</v>
      </c>
      <c r="G1418" s="14" t="s">
        <v>33</v>
      </c>
      <c r="H1418" s="2" t="s">
        <v>64</v>
      </c>
      <c r="I1418" s="173"/>
      <c r="K1418" s="174" t="s">
        <v>2958</v>
      </c>
    </row>
    <row r="1419" spans="2:11" s="6" customFormat="1" x14ac:dyDescent="0.25">
      <c r="B1419" s="505"/>
      <c r="C1419" s="25" t="s">
        <v>2965</v>
      </c>
      <c r="D1419" s="25" t="s">
        <v>2966</v>
      </c>
      <c r="E1419" s="107">
        <f t="shared" si="112"/>
        <v>1320</v>
      </c>
      <c r="F1419" s="14">
        <f t="shared" si="113"/>
        <v>0</v>
      </c>
      <c r="G1419" s="14" t="s">
        <v>45</v>
      </c>
      <c r="H1419" s="2">
        <v>0</v>
      </c>
      <c r="I1419" s="173"/>
      <c r="K1419" s="174" t="s">
        <v>2958</v>
      </c>
    </row>
    <row r="1420" spans="2:11" s="6" customFormat="1" x14ac:dyDescent="0.25">
      <c r="B1420" s="505"/>
      <c r="C1420" s="25" t="s">
        <v>2967</v>
      </c>
      <c r="D1420" s="25" t="s">
        <v>2968</v>
      </c>
      <c r="E1420" s="107">
        <f t="shared" si="112"/>
        <v>1321</v>
      </c>
      <c r="F1420" s="14" t="str">
        <f t="shared" si="113"/>
        <v>Tidak Ada</v>
      </c>
      <c r="G1420" s="14" t="s">
        <v>33</v>
      </c>
      <c r="H1420" s="2" t="s">
        <v>64</v>
      </c>
      <c r="I1420" s="173"/>
      <c r="K1420" s="174" t="s">
        <v>2958</v>
      </c>
    </row>
    <row r="1421" spans="2:11" s="6" customFormat="1" x14ac:dyDescent="0.25">
      <c r="B1421" s="505"/>
      <c r="C1421" s="25" t="s">
        <v>2969</v>
      </c>
      <c r="D1421" s="25" t="s">
        <v>2970</v>
      </c>
      <c r="E1421" s="107">
        <f t="shared" si="112"/>
        <v>1322</v>
      </c>
      <c r="F1421" s="14">
        <f t="shared" si="113"/>
        <v>0</v>
      </c>
      <c r="G1421" s="14" t="s">
        <v>45</v>
      </c>
      <c r="H1421" s="2">
        <v>0</v>
      </c>
      <c r="I1421" s="173"/>
      <c r="K1421" s="174" t="s">
        <v>2958</v>
      </c>
    </row>
    <row r="1422" spans="2:11" s="6" customFormat="1" x14ac:dyDescent="0.25">
      <c r="B1422" s="505" t="str">
        <f>"E "&amp;(RIGHT(B1414,3)+1)</f>
        <v>E 543</v>
      </c>
      <c r="C1422" s="69" t="s">
        <v>2971</v>
      </c>
      <c r="D1422" s="25" t="s">
        <v>2972</v>
      </c>
      <c r="E1422" s="107">
        <f t="shared" si="112"/>
        <v>1323</v>
      </c>
      <c r="F1422" s="14">
        <f t="shared" si="113"/>
        <v>1</v>
      </c>
      <c r="G1422" s="14" t="s">
        <v>45</v>
      </c>
      <c r="H1422" s="2">
        <v>1</v>
      </c>
      <c r="I1422" s="173"/>
      <c r="K1422" s="174" t="s">
        <v>2921</v>
      </c>
    </row>
    <row r="1423" spans="2:11" s="6" customFormat="1" x14ac:dyDescent="0.25">
      <c r="B1423" s="505"/>
      <c r="C1423" s="25" t="s">
        <v>2973</v>
      </c>
      <c r="D1423" s="25" t="s">
        <v>2974</v>
      </c>
      <c r="E1423" s="107">
        <f t="shared" si="112"/>
        <v>1324</v>
      </c>
      <c r="F1423" s="14">
        <f t="shared" si="113"/>
        <v>1</v>
      </c>
      <c r="G1423" s="14" t="s">
        <v>45</v>
      </c>
      <c r="H1423" s="2">
        <v>1</v>
      </c>
      <c r="I1423" s="173"/>
      <c r="K1423" s="174" t="s">
        <v>2975</v>
      </c>
    </row>
    <row r="1424" spans="2:11" s="6" customFormat="1" x14ac:dyDescent="0.25">
      <c r="B1424" s="505"/>
      <c r="C1424" s="25" t="s">
        <v>2976</v>
      </c>
      <c r="D1424" s="25" t="s">
        <v>2977</v>
      </c>
      <c r="E1424" s="107">
        <f t="shared" si="112"/>
        <v>1325</v>
      </c>
      <c r="F1424" s="14">
        <f t="shared" si="113"/>
        <v>1</v>
      </c>
      <c r="G1424" s="14" t="s">
        <v>45</v>
      </c>
      <c r="H1424" s="2">
        <v>1</v>
      </c>
      <c r="I1424" s="173"/>
      <c r="K1424" s="174" t="s">
        <v>2975</v>
      </c>
    </row>
    <row r="1425" spans="2:11" s="6" customFormat="1" x14ac:dyDescent="0.25">
      <c r="B1425" s="505"/>
      <c r="C1425" s="25" t="s">
        <v>2978</v>
      </c>
      <c r="D1425" s="25" t="s">
        <v>2979</v>
      </c>
      <c r="E1425" s="107">
        <f t="shared" si="112"/>
        <v>1326</v>
      </c>
      <c r="F1425" s="14">
        <f t="shared" si="113"/>
        <v>1</v>
      </c>
      <c r="G1425" s="14" t="s">
        <v>45</v>
      </c>
      <c r="H1425" s="2">
        <v>1</v>
      </c>
      <c r="I1425" s="173"/>
      <c r="K1425" s="174" t="s">
        <v>2975</v>
      </c>
    </row>
    <row r="1426" spans="2:11" s="6" customFormat="1" x14ac:dyDescent="0.25">
      <c r="B1426" s="505"/>
      <c r="C1426" s="25" t="s">
        <v>2980</v>
      </c>
      <c r="D1426" s="25" t="s">
        <v>2981</v>
      </c>
      <c r="E1426" s="107">
        <f t="shared" si="112"/>
        <v>1327</v>
      </c>
      <c r="F1426" s="14">
        <f t="shared" si="113"/>
        <v>0</v>
      </c>
      <c r="G1426" s="14" t="s">
        <v>45</v>
      </c>
      <c r="H1426" s="2">
        <v>0</v>
      </c>
      <c r="I1426" s="173"/>
      <c r="K1426" s="174" t="s">
        <v>2975</v>
      </c>
    </row>
    <row r="1427" spans="2:11" s="6" customFormat="1" x14ac:dyDescent="0.25">
      <c r="B1427" s="505"/>
      <c r="C1427" s="25" t="s">
        <v>2982</v>
      </c>
      <c r="D1427" s="25" t="s">
        <v>2983</v>
      </c>
      <c r="E1427" s="107">
        <f t="shared" si="112"/>
        <v>1328</v>
      </c>
      <c r="F1427" s="14">
        <f t="shared" si="113"/>
        <v>0</v>
      </c>
      <c r="G1427" s="14" t="s">
        <v>45</v>
      </c>
      <c r="H1427" s="2">
        <v>0</v>
      </c>
      <c r="I1427" s="173"/>
      <c r="K1427" s="174" t="s">
        <v>2975</v>
      </c>
    </row>
    <row r="1428" spans="2:11" s="6" customFormat="1" x14ac:dyDescent="0.25">
      <c r="B1428" s="505"/>
      <c r="C1428" s="25" t="s">
        <v>2984</v>
      </c>
      <c r="D1428" s="25" t="s">
        <v>2985</v>
      </c>
      <c r="E1428" s="107">
        <f t="shared" si="112"/>
        <v>1329</v>
      </c>
      <c r="F1428" s="14">
        <f t="shared" si="113"/>
        <v>0</v>
      </c>
      <c r="G1428" s="14" t="s">
        <v>45</v>
      </c>
      <c r="H1428" s="2">
        <v>0</v>
      </c>
      <c r="I1428" s="173"/>
      <c r="K1428" s="174" t="s">
        <v>2975</v>
      </c>
    </row>
    <row r="1429" spans="2:11" s="6" customFormat="1" x14ac:dyDescent="0.25">
      <c r="B1429" s="505"/>
      <c r="C1429" s="25" t="s">
        <v>2986</v>
      </c>
      <c r="D1429" s="25" t="s">
        <v>2987</v>
      </c>
      <c r="E1429" s="107">
        <f t="shared" ref="E1429:E1461" si="114">E1428+1</f>
        <v>1330</v>
      </c>
      <c r="F1429" s="14">
        <f t="shared" si="113"/>
        <v>0</v>
      </c>
      <c r="G1429" s="14" t="s">
        <v>45</v>
      </c>
      <c r="H1429" s="2">
        <v>0</v>
      </c>
      <c r="I1429" s="173"/>
      <c r="K1429" s="174" t="s">
        <v>2975</v>
      </c>
    </row>
    <row r="1430" spans="2:11" s="6" customFormat="1" x14ac:dyDescent="0.25">
      <c r="B1430" s="505"/>
      <c r="C1430" s="25" t="s">
        <v>2988</v>
      </c>
      <c r="D1430" s="25" t="s">
        <v>2989</v>
      </c>
      <c r="E1430" s="107">
        <f t="shared" si="114"/>
        <v>1331</v>
      </c>
      <c r="F1430" s="14">
        <f t="shared" si="113"/>
        <v>1</v>
      </c>
      <c r="G1430" s="14" t="s">
        <v>45</v>
      </c>
      <c r="H1430" s="2">
        <v>1</v>
      </c>
      <c r="I1430" s="173"/>
      <c r="K1430" s="174" t="s">
        <v>2975</v>
      </c>
    </row>
    <row r="1431" spans="2:11" s="6" customFormat="1" x14ac:dyDescent="0.25">
      <c r="B1431" s="505" t="str">
        <f>"E "&amp;(RIGHT(B1422,3)+1)</f>
        <v>E 544</v>
      </c>
      <c r="C1431" s="69" t="s">
        <v>2990</v>
      </c>
      <c r="D1431" s="25" t="s">
        <v>2991</v>
      </c>
      <c r="E1431" s="107">
        <f t="shared" si="114"/>
        <v>1332</v>
      </c>
      <c r="F1431" s="14">
        <f t="shared" si="113"/>
        <v>1</v>
      </c>
      <c r="G1431" s="14" t="s">
        <v>45</v>
      </c>
      <c r="H1431" s="2">
        <v>1</v>
      </c>
      <c r="I1431" s="173"/>
      <c r="K1431" s="174" t="s">
        <v>2921</v>
      </c>
    </row>
    <row r="1432" spans="2:11" s="6" customFormat="1" x14ac:dyDescent="0.25">
      <c r="B1432" s="505"/>
      <c r="C1432" s="25" t="s">
        <v>2992</v>
      </c>
      <c r="D1432" s="25" t="s">
        <v>2993</v>
      </c>
      <c r="E1432" s="107">
        <f t="shared" si="114"/>
        <v>1333</v>
      </c>
      <c r="F1432" s="14">
        <f t="shared" si="113"/>
        <v>1</v>
      </c>
      <c r="G1432" s="14" t="s">
        <v>45</v>
      </c>
      <c r="H1432" s="2">
        <v>1</v>
      </c>
      <c r="I1432" s="173"/>
      <c r="K1432" s="174" t="s">
        <v>2994</v>
      </c>
    </row>
    <row r="1433" spans="2:11" s="6" customFormat="1" x14ac:dyDescent="0.25">
      <c r="B1433" s="505"/>
      <c r="C1433" s="25" t="s">
        <v>2995</v>
      </c>
      <c r="D1433" s="25" t="s">
        <v>2996</v>
      </c>
      <c r="E1433" s="107">
        <f t="shared" si="114"/>
        <v>1334</v>
      </c>
      <c r="F1433" s="14">
        <f t="shared" si="113"/>
        <v>0</v>
      </c>
      <c r="G1433" s="14" t="s">
        <v>45</v>
      </c>
      <c r="H1433" s="2">
        <v>0</v>
      </c>
      <c r="I1433" s="173"/>
      <c r="K1433" s="174" t="s">
        <v>2994</v>
      </c>
    </row>
    <row r="1434" spans="2:11" s="6" customFormat="1" x14ac:dyDescent="0.25">
      <c r="B1434" s="505"/>
      <c r="C1434" s="25" t="s">
        <v>2997</v>
      </c>
      <c r="D1434" s="25" t="s">
        <v>2998</v>
      </c>
      <c r="E1434" s="107">
        <f t="shared" si="114"/>
        <v>1335</v>
      </c>
      <c r="F1434" s="14">
        <f t="shared" ref="F1434:F1459" si="115">H1434</f>
        <v>1</v>
      </c>
      <c r="G1434" s="14" t="s">
        <v>45</v>
      </c>
      <c r="H1434" s="2">
        <v>1</v>
      </c>
      <c r="I1434" s="173"/>
      <c r="K1434" s="174" t="s">
        <v>2994</v>
      </c>
    </row>
    <row r="1435" spans="2:11" s="6" customFormat="1" x14ac:dyDescent="0.25">
      <c r="B1435" s="505"/>
      <c r="C1435" s="25" t="s">
        <v>2999</v>
      </c>
      <c r="D1435" s="25" t="s">
        <v>3000</v>
      </c>
      <c r="E1435" s="107">
        <f t="shared" si="114"/>
        <v>1336</v>
      </c>
      <c r="F1435" s="14">
        <f t="shared" si="115"/>
        <v>0</v>
      </c>
      <c r="G1435" s="14" t="s">
        <v>45</v>
      </c>
      <c r="H1435" s="2">
        <v>0</v>
      </c>
      <c r="I1435" s="173"/>
      <c r="K1435" s="174" t="s">
        <v>2994</v>
      </c>
    </row>
    <row r="1436" spans="2:11" s="6" customFormat="1" x14ac:dyDescent="0.25">
      <c r="B1436" s="505"/>
      <c r="C1436" s="25" t="s">
        <v>3001</v>
      </c>
      <c r="D1436" s="25" t="s">
        <v>3002</v>
      </c>
      <c r="E1436" s="107">
        <f t="shared" si="114"/>
        <v>1337</v>
      </c>
      <c r="F1436" s="14">
        <f t="shared" si="115"/>
        <v>0</v>
      </c>
      <c r="G1436" s="14" t="s">
        <v>45</v>
      </c>
      <c r="H1436" s="2">
        <v>0</v>
      </c>
      <c r="I1436" s="173"/>
      <c r="K1436" s="174" t="s">
        <v>2994</v>
      </c>
    </row>
    <row r="1437" spans="2:11" s="6" customFormat="1" x14ac:dyDescent="0.25">
      <c r="B1437" s="505"/>
      <c r="C1437" s="25" t="s">
        <v>3003</v>
      </c>
      <c r="D1437" s="25" t="s">
        <v>3004</v>
      </c>
      <c r="E1437" s="107">
        <f t="shared" si="114"/>
        <v>1338</v>
      </c>
      <c r="F1437" s="14">
        <f t="shared" si="115"/>
        <v>0</v>
      </c>
      <c r="G1437" s="14" t="s">
        <v>45</v>
      </c>
      <c r="H1437" s="2">
        <v>0</v>
      </c>
      <c r="I1437" s="173"/>
      <c r="K1437" s="174" t="s">
        <v>2994</v>
      </c>
    </row>
    <row r="1438" spans="2:11" s="6" customFormat="1" x14ac:dyDescent="0.25">
      <c r="B1438" s="505" t="str">
        <f>"E "&amp;(RIGHT(B1431,3)+1)</f>
        <v>E 545</v>
      </c>
      <c r="C1438" s="69" t="s">
        <v>3005</v>
      </c>
      <c r="D1438" s="25" t="s">
        <v>3006</v>
      </c>
      <c r="E1438" s="107">
        <f t="shared" si="114"/>
        <v>1339</v>
      </c>
      <c r="F1438" s="14">
        <f t="shared" si="115"/>
        <v>1</v>
      </c>
      <c r="G1438" s="14" t="s">
        <v>45</v>
      </c>
      <c r="H1438" s="2">
        <v>1</v>
      </c>
      <c r="I1438" s="173"/>
      <c r="K1438" s="174" t="s">
        <v>2921</v>
      </c>
    </row>
    <row r="1439" spans="2:11" s="6" customFormat="1" x14ac:dyDescent="0.25">
      <c r="B1439" s="505"/>
      <c r="C1439" s="26" t="s">
        <v>3007</v>
      </c>
      <c r="D1439" s="25" t="s">
        <v>3008</v>
      </c>
      <c r="E1439" s="107">
        <f t="shared" si="114"/>
        <v>1340</v>
      </c>
      <c r="F1439" s="14">
        <f t="shared" si="115"/>
        <v>1</v>
      </c>
      <c r="G1439" s="14" t="s">
        <v>45</v>
      </c>
      <c r="H1439" s="2">
        <v>1</v>
      </c>
      <c r="I1439" s="173"/>
      <c r="K1439" s="174" t="s">
        <v>3009</v>
      </c>
    </row>
    <row r="1440" spans="2:11" s="6" customFormat="1" x14ac:dyDescent="0.25">
      <c r="B1440" s="505"/>
      <c r="C1440" s="26" t="s">
        <v>3010</v>
      </c>
      <c r="D1440" s="25" t="s">
        <v>3011</v>
      </c>
      <c r="E1440" s="107">
        <f t="shared" si="114"/>
        <v>1341</v>
      </c>
      <c r="F1440" s="14">
        <f t="shared" si="115"/>
        <v>1</v>
      </c>
      <c r="G1440" s="14" t="s">
        <v>45</v>
      </c>
      <c r="H1440" s="2">
        <v>1</v>
      </c>
      <c r="I1440" s="173"/>
      <c r="K1440" s="174" t="s">
        <v>3009</v>
      </c>
    </row>
    <row r="1441" spans="2:11" s="6" customFormat="1" x14ac:dyDescent="0.25">
      <c r="B1441" s="505"/>
      <c r="C1441" s="26" t="s">
        <v>3012</v>
      </c>
      <c r="D1441" s="25" t="s">
        <v>3013</v>
      </c>
      <c r="E1441" s="107">
        <f t="shared" si="114"/>
        <v>1342</v>
      </c>
      <c r="F1441" s="14">
        <f t="shared" si="115"/>
        <v>0</v>
      </c>
      <c r="G1441" s="14" t="s">
        <v>45</v>
      </c>
      <c r="H1441" s="2">
        <v>0</v>
      </c>
      <c r="I1441" s="173"/>
      <c r="K1441" s="174" t="s">
        <v>3009</v>
      </c>
    </row>
    <row r="1442" spans="2:11" s="6" customFormat="1" x14ac:dyDescent="0.25">
      <c r="B1442" s="505" t="str">
        <f>"E "&amp;(RIGHT(B1438,3)+1)</f>
        <v>E 546</v>
      </c>
      <c r="C1442" s="69" t="s">
        <v>3014</v>
      </c>
      <c r="D1442" s="25" t="s">
        <v>3015</v>
      </c>
      <c r="E1442" s="107">
        <f t="shared" si="114"/>
        <v>1343</v>
      </c>
      <c r="F1442" s="14">
        <f t="shared" si="115"/>
        <v>1</v>
      </c>
      <c r="G1442" s="14" t="s">
        <v>45</v>
      </c>
      <c r="H1442" s="2">
        <v>1</v>
      </c>
      <c r="I1442" s="173"/>
      <c r="K1442" s="174" t="s">
        <v>2921</v>
      </c>
    </row>
    <row r="1443" spans="2:11" s="6" customFormat="1" x14ac:dyDescent="0.25">
      <c r="B1443" s="505"/>
      <c r="C1443" s="26" t="s">
        <v>3016</v>
      </c>
      <c r="D1443" s="25" t="s">
        <v>3017</v>
      </c>
      <c r="E1443" s="107">
        <f t="shared" si="114"/>
        <v>1344</v>
      </c>
      <c r="F1443" s="14">
        <f t="shared" si="115"/>
        <v>1</v>
      </c>
      <c r="G1443" s="14" t="s">
        <v>45</v>
      </c>
      <c r="H1443" s="2">
        <v>1</v>
      </c>
      <c r="I1443" s="173"/>
      <c r="K1443" s="174" t="s">
        <v>3018</v>
      </c>
    </row>
    <row r="1444" spans="2:11" s="6" customFormat="1" x14ac:dyDescent="0.25">
      <c r="B1444" s="505"/>
      <c r="C1444" s="26" t="s">
        <v>3019</v>
      </c>
      <c r="D1444" s="25" t="s">
        <v>3020</v>
      </c>
      <c r="E1444" s="107">
        <f t="shared" si="114"/>
        <v>1345</v>
      </c>
      <c r="F1444" s="14">
        <f t="shared" si="115"/>
        <v>0</v>
      </c>
      <c r="G1444" s="14" t="s">
        <v>45</v>
      </c>
      <c r="H1444" s="2">
        <v>0</v>
      </c>
      <c r="I1444" s="173"/>
      <c r="J1444" s="174"/>
      <c r="K1444" s="174" t="s">
        <v>3018</v>
      </c>
    </row>
    <row r="1445" spans="2:11" s="6" customFormat="1" x14ac:dyDescent="0.25">
      <c r="B1445" s="505"/>
      <c r="C1445" s="26" t="s">
        <v>3021</v>
      </c>
      <c r="D1445" s="25" t="s">
        <v>3022</v>
      </c>
      <c r="E1445" s="107">
        <f t="shared" si="114"/>
        <v>1346</v>
      </c>
      <c r="F1445" s="14">
        <f t="shared" si="115"/>
        <v>1</v>
      </c>
      <c r="G1445" s="14" t="s">
        <v>45</v>
      </c>
      <c r="H1445" s="2">
        <v>1</v>
      </c>
      <c r="I1445" s="173"/>
      <c r="J1445" s="174"/>
      <c r="K1445" s="174" t="s">
        <v>3018</v>
      </c>
    </row>
    <row r="1446" spans="2:11" s="6" customFormat="1" x14ac:dyDescent="0.25">
      <c r="B1446" s="505"/>
      <c r="C1446" s="26" t="s">
        <v>3023</v>
      </c>
      <c r="D1446" s="25" t="s">
        <v>3024</v>
      </c>
      <c r="E1446" s="107">
        <f t="shared" si="114"/>
        <v>1347</v>
      </c>
      <c r="F1446" s="14">
        <f t="shared" si="115"/>
        <v>0</v>
      </c>
      <c r="G1446" s="14" t="s">
        <v>45</v>
      </c>
      <c r="H1446" s="2">
        <v>0</v>
      </c>
      <c r="I1446" s="173"/>
      <c r="J1446" s="174"/>
      <c r="K1446" s="174" t="s">
        <v>3018</v>
      </c>
    </row>
    <row r="1447" spans="2:11" x14ac:dyDescent="0.25">
      <c r="B1447" s="505" t="str">
        <f>"E "&amp;(RIGHT(B1442,3)+1)</f>
        <v>E 547</v>
      </c>
      <c r="C1447" s="26" t="s">
        <v>3025</v>
      </c>
      <c r="D1447" s="25" t="s">
        <v>3026</v>
      </c>
      <c r="E1447" s="107">
        <f t="shared" si="114"/>
        <v>1348</v>
      </c>
      <c r="F1447" s="14">
        <f t="shared" si="115"/>
        <v>2700000</v>
      </c>
      <c r="G1447" s="14" t="s">
        <v>1398</v>
      </c>
      <c r="H1447" s="64">
        <v>2700000</v>
      </c>
    </row>
    <row r="1448" spans="2:11" x14ac:dyDescent="0.25">
      <c r="B1448" s="505"/>
      <c r="C1448" s="26" t="s">
        <v>3027</v>
      </c>
      <c r="D1448" s="25" t="s">
        <v>3028</v>
      </c>
      <c r="E1448" s="107">
        <f t="shared" si="114"/>
        <v>1349</v>
      </c>
      <c r="F1448" s="14">
        <f t="shared" si="115"/>
        <v>0</v>
      </c>
      <c r="G1448" s="14" t="s">
        <v>1398</v>
      </c>
      <c r="H1448" s="64">
        <v>0</v>
      </c>
    </row>
    <row r="1449" spans="2:11" x14ac:dyDescent="0.25">
      <c r="B1449" s="258" t="str">
        <f>"E "&amp;(RIGHT(B1447,3)+1)</f>
        <v>E 548</v>
      </c>
      <c r="C1449" s="184" t="s">
        <v>3029</v>
      </c>
      <c r="D1449" s="184" t="s">
        <v>3030</v>
      </c>
      <c r="E1449" s="185">
        <f t="shared" si="114"/>
        <v>1350</v>
      </c>
      <c r="F1449" s="183">
        <f t="shared" si="115"/>
        <v>6</v>
      </c>
      <c r="G1449" s="183" t="s">
        <v>3031</v>
      </c>
      <c r="H1449" s="189">
        <f>SUM(H1442,H1438,H1431,H1422,H1414,H1409,H1404)</f>
        <v>6</v>
      </c>
      <c r="I1449" s="187"/>
    </row>
    <row r="1450" spans="2:11" x14ac:dyDescent="0.25">
      <c r="B1450" s="505" t="str">
        <f>"E "&amp;(RIGHT(B1449,3)+1)</f>
        <v>E 549</v>
      </c>
      <c r="C1450" s="25" t="s">
        <v>3032</v>
      </c>
      <c r="D1450" s="25" t="s">
        <v>3033</v>
      </c>
      <c r="E1450" s="107">
        <f t="shared" si="114"/>
        <v>1351</v>
      </c>
      <c r="F1450" s="14" t="str">
        <f t="shared" si="115"/>
        <v>Nomor 3 Tahun 2021</v>
      </c>
      <c r="G1450" s="14" t="s">
        <v>33</v>
      </c>
      <c r="H1450" s="3" t="s">
        <v>3034</v>
      </c>
    </row>
    <row r="1451" spans="2:11" x14ac:dyDescent="0.25">
      <c r="B1451" s="505"/>
      <c r="C1451" s="25" t="s">
        <v>3035</v>
      </c>
      <c r="D1451" s="25" t="s">
        <v>3036</v>
      </c>
      <c r="E1451" s="107">
        <f t="shared" si="114"/>
        <v>1352</v>
      </c>
      <c r="F1451" s="14">
        <f t="shared" si="115"/>
        <v>2016</v>
      </c>
      <c r="G1451" s="14" t="s">
        <v>1435</v>
      </c>
      <c r="H1451" s="2">
        <v>2016</v>
      </c>
      <c r="J1451" s="174" t="s">
        <v>3037</v>
      </c>
    </row>
    <row r="1452" spans="2:11" x14ac:dyDescent="0.25">
      <c r="B1452" s="505"/>
      <c r="C1452" s="25" t="s">
        <v>3038</v>
      </c>
      <c r="D1452" s="25" t="s">
        <v>3039</v>
      </c>
      <c r="E1452" s="107">
        <f t="shared" si="114"/>
        <v>1353</v>
      </c>
      <c r="F1452" s="14">
        <f t="shared" si="115"/>
        <v>0</v>
      </c>
      <c r="G1452" s="14" t="s">
        <v>204</v>
      </c>
      <c r="H1452" s="2">
        <v>0</v>
      </c>
      <c r="J1452" s="174" t="s">
        <v>3040</v>
      </c>
    </row>
    <row r="1453" spans="2:11" x14ac:dyDescent="0.25">
      <c r="B1453" s="505"/>
      <c r="C1453" s="25" t="s">
        <v>3041</v>
      </c>
      <c r="D1453" s="25" t="s">
        <v>3042</v>
      </c>
      <c r="E1453" s="107">
        <f t="shared" si="114"/>
        <v>1354</v>
      </c>
      <c r="F1453" s="14" t="str">
        <f t="shared" si="115"/>
        <v>ANDI ISRAENI</v>
      </c>
      <c r="G1453" s="14" t="s">
        <v>33</v>
      </c>
      <c r="H1453" s="3" t="s">
        <v>3043</v>
      </c>
    </row>
    <row r="1454" spans="2:11" x14ac:dyDescent="0.25">
      <c r="B1454" s="505"/>
      <c r="C1454" s="25" t="s">
        <v>3044</v>
      </c>
      <c r="D1454" s="25" t="s">
        <v>3045</v>
      </c>
      <c r="E1454" s="107">
        <f t="shared" si="114"/>
        <v>1355</v>
      </c>
      <c r="F1454" s="14" t="str">
        <f t="shared" si="115"/>
        <v>Al Ikhwan Manurung, S.Pd</v>
      </c>
      <c r="G1454" s="14" t="s">
        <v>33</v>
      </c>
      <c r="H1454" s="3" t="s">
        <v>3046</v>
      </c>
    </row>
    <row r="1455" spans="2:11" x14ac:dyDescent="0.25">
      <c r="B1455" s="505"/>
      <c r="C1455" s="25" t="s">
        <v>3047</v>
      </c>
      <c r="D1455" s="25" t="s">
        <v>3048</v>
      </c>
      <c r="E1455" s="107">
        <f t="shared" si="114"/>
        <v>1356</v>
      </c>
      <c r="F1455" s="14" t="str">
        <f t="shared" si="115"/>
        <v>Alfian Munir, S.Pd</v>
      </c>
      <c r="G1455" s="14" t="s">
        <v>33</v>
      </c>
      <c r="H1455" s="2" t="s">
        <v>3049</v>
      </c>
    </row>
    <row r="1456" spans="2:11" x14ac:dyDescent="0.25">
      <c r="B1456" s="505"/>
      <c r="C1456" s="25" t="s">
        <v>3050</v>
      </c>
      <c r="D1456" s="25" t="s">
        <v>3051</v>
      </c>
      <c r="E1456" s="107">
        <f t="shared" si="114"/>
        <v>1357</v>
      </c>
      <c r="F1456" s="14" t="str">
        <f t="shared" si="115"/>
        <v>Andi Alwarida, SE</v>
      </c>
      <c r="G1456" s="14" t="s">
        <v>33</v>
      </c>
      <c r="H1456" s="2" t="s">
        <v>3052</v>
      </c>
    </row>
    <row r="1457" spans="2:11" x14ac:dyDescent="0.25">
      <c r="B1457" s="505"/>
      <c r="C1457" s="25" t="s">
        <v>3053</v>
      </c>
      <c r="D1457" s="25" t="s">
        <v>3054</v>
      </c>
      <c r="E1457" s="107">
        <f t="shared" si="114"/>
        <v>1358</v>
      </c>
      <c r="F1457" s="14">
        <f t="shared" si="115"/>
        <v>4</v>
      </c>
      <c r="G1457" s="14" t="s">
        <v>204</v>
      </c>
      <c r="H1457" s="2">
        <v>4</v>
      </c>
      <c r="J1457" s="174" t="s">
        <v>3040</v>
      </c>
    </row>
    <row r="1458" spans="2:11" x14ac:dyDescent="0.25">
      <c r="B1458" s="505"/>
      <c r="C1458" s="25" t="s">
        <v>3055</v>
      </c>
      <c r="D1458" s="25" t="s">
        <v>3056</v>
      </c>
      <c r="E1458" s="107">
        <f t="shared" si="114"/>
        <v>1359</v>
      </c>
      <c r="F1458" s="14" t="str">
        <f t="shared" si="115"/>
        <v>No. 59 Tahun 2021</v>
      </c>
      <c r="G1458" s="14" t="s">
        <v>33</v>
      </c>
      <c r="H1458" s="2" t="s">
        <v>3057</v>
      </c>
    </row>
    <row r="1459" spans="2:11" x14ac:dyDescent="0.25">
      <c r="B1459" s="505"/>
      <c r="C1459" s="25" t="s">
        <v>3058</v>
      </c>
      <c r="D1459" s="25" t="s">
        <v>3059</v>
      </c>
      <c r="E1459" s="107">
        <f t="shared" si="114"/>
        <v>1360</v>
      </c>
      <c r="F1459" s="14" t="str">
        <f t="shared" si="115"/>
        <v>bumdesberdayabira@gmail.com</v>
      </c>
      <c r="G1459" s="14" t="s">
        <v>33</v>
      </c>
      <c r="H1459" s="2" t="s">
        <v>3060</v>
      </c>
    </row>
    <row r="1460" spans="2:11" x14ac:dyDescent="0.25">
      <c r="B1460" s="258" t="str">
        <f>"E "&amp;(RIGHT(B1450,3)+1)</f>
        <v>E 550</v>
      </c>
      <c r="C1460" s="25" t="s">
        <v>3061</v>
      </c>
      <c r="D1460" s="25" t="s">
        <v>3062</v>
      </c>
      <c r="E1460" s="185">
        <f t="shared" si="114"/>
        <v>1361</v>
      </c>
      <c r="F1460" s="183"/>
      <c r="G1460" s="183" t="s">
        <v>1630</v>
      </c>
      <c r="H1460" s="188">
        <v>7</v>
      </c>
      <c r="J1460" s="174" t="s">
        <v>1292</v>
      </c>
    </row>
    <row r="1461" spans="2:11" x14ac:dyDescent="0.25">
      <c r="B1461" s="258" t="str">
        <f>"E "&amp;(RIGHT(B1460,3)+1)</f>
        <v>E 551</v>
      </c>
      <c r="C1461" s="25" t="s">
        <v>3063</v>
      </c>
      <c r="D1461" s="25" t="s">
        <v>3064</v>
      </c>
      <c r="E1461" s="185">
        <f t="shared" si="114"/>
        <v>1362</v>
      </c>
      <c r="F1461" s="183"/>
      <c r="G1461" s="183" t="s">
        <v>1630</v>
      </c>
      <c r="H1461" s="188">
        <v>7</v>
      </c>
      <c r="J1461" s="174" t="s">
        <v>1292</v>
      </c>
    </row>
    <row r="1462" spans="2:11" ht="21" customHeight="1" x14ac:dyDescent="0.25">
      <c r="B1462" s="282"/>
      <c r="C1462" s="567" t="s">
        <v>3065</v>
      </c>
      <c r="D1462" s="568"/>
      <c r="E1462" s="143"/>
      <c r="F1462" s="14"/>
      <c r="G1462" s="14"/>
    </row>
    <row r="1463" spans="2:11" ht="36" customHeight="1" x14ac:dyDescent="0.25">
      <c r="B1463" s="258" t="str">
        <f>"E "&amp;(RIGHT(B1461,3)+1)</f>
        <v>E 552</v>
      </c>
      <c r="C1463" s="25" t="s">
        <v>3066</v>
      </c>
      <c r="D1463" s="25" t="s">
        <v>3067</v>
      </c>
      <c r="E1463" s="107">
        <f>E1461+1</f>
        <v>1363</v>
      </c>
      <c r="F1463" s="14">
        <f t="shared" ref="F1463:F1471" si="116">H1463</f>
        <v>1</v>
      </c>
      <c r="G1463" s="14" t="s">
        <v>45</v>
      </c>
      <c r="H1463" s="2">
        <v>1</v>
      </c>
      <c r="I1463" s="173" t="s">
        <v>3068</v>
      </c>
    </row>
    <row r="1464" spans="2:11" x14ac:dyDescent="0.25">
      <c r="B1464" s="258" t="str">
        <f t="shared" ref="B1464:B1471" si="117">"E "&amp;(RIGHT(B1463,3)+1)</f>
        <v>E 553</v>
      </c>
      <c r="C1464" s="25" t="s">
        <v>3069</v>
      </c>
      <c r="D1464" s="25" t="s">
        <v>3070</v>
      </c>
      <c r="E1464" s="107">
        <f t="shared" ref="E1464:E1471" si="118">E1463+1</f>
        <v>1364</v>
      </c>
      <c r="F1464" s="14" t="str">
        <f t="shared" si="116"/>
        <v>Ada</v>
      </c>
      <c r="G1464" s="14" t="s">
        <v>45</v>
      </c>
      <c r="H1464" s="2" t="s">
        <v>148</v>
      </c>
      <c r="K1464" s="174" t="s">
        <v>3071</v>
      </c>
    </row>
    <row r="1465" spans="2:11" x14ac:dyDescent="0.25">
      <c r="B1465" s="258" t="str">
        <f t="shared" si="117"/>
        <v>E 554</v>
      </c>
      <c r="C1465" s="98" t="s">
        <v>3072</v>
      </c>
      <c r="D1465" s="25" t="s">
        <v>3073</v>
      </c>
      <c r="E1465" s="107">
        <f t="shared" si="118"/>
        <v>1365</v>
      </c>
      <c r="F1465" s="14" t="str">
        <f t="shared" si="116"/>
        <v>Ada</v>
      </c>
      <c r="G1465" s="14" t="s">
        <v>45</v>
      </c>
      <c r="H1465" s="2" t="s">
        <v>148</v>
      </c>
      <c r="K1465" s="174" t="s">
        <v>3071</v>
      </c>
    </row>
    <row r="1466" spans="2:11" x14ac:dyDescent="0.25">
      <c r="B1466" s="258" t="str">
        <f t="shared" si="117"/>
        <v>E 555</v>
      </c>
      <c r="C1466" s="98" t="s">
        <v>3074</v>
      </c>
      <c r="D1466" s="25" t="s">
        <v>3075</v>
      </c>
      <c r="E1466" s="107">
        <f t="shared" si="118"/>
        <v>1366</v>
      </c>
      <c r="F1466" s="14" t="str">
        <f t="shared" si="116"/>
        <v>Tidak Ada</v>
      </c>
      <c r="G1466" s="14" t="s">
        <v>45</v>
      </c>
      <c r="H1466" s="2" t="s">
        <v>64</v>
      </c>
      <c r="K1466" s="174" t="s">
        <v>3071</v>
      </c>
    </row>
    <row r="1467" spans="2:11" x14ac:dyDescent="0.25">
      <c r="B1467" s="258" t="str">
        <f t="shared" si="117"/>
        <v>E 556</v>
      </c>
      <c r="C1467" s="25" t="s">
        <v>3076</v>
      </c>
      <c r="D1467" s="25" t="s">
        <v>3077</v>
      </c>
      <c r="E1467" s="107">
        <f t="shared" si="118"/>
        <v>1367</v>
      </c>
      <c r="F1467" s="14">
        <f t="shared" si="116"/>
        <v>1</v>
      </c>
      <c r="G1467" s="14" t="s">
        <v>45</v>
      </c>
      <c r="H1467" s="2">
        <v>1</v>
      </c>
      <c r="K1467" s="174" t="s">
        <v>3071</v>
      </c>
    </row>
    <row r="1468" spans="2:11" x14ac:dyDescent="0.25">
      <c r="B1468" s="258" t="str">
        <f t="shared" si="117"/>
        <v>E 557</v>
      </c>
      <c r="C1468" s="25" t="s">
        <v>3078</v>
      </c>
      <c r="D1468" s="25" t="s">
        <v>3079</v>
      </c>
      <c r="E1468" s="107">
        <f t="shared" si="118"/>
        <v>1368</v>
      </c>
      <c r="F1468" s="14">
        <f t="shared" si="116"/>
        <v>1</v>
      </c>
      <c r="G1468" s="14" t="s">
        <v>45</v>
      </c>
      <c r="H1468" s="2">
        <v>1</v>
      </c>
      <c r="K1468" s="174" t="s">
        <v>3071</v>
      </c>
    </row>
    <row r="1469" spans="2:11" ht="24" customHeight="1" x14ac:dyDescent="0.25">
      <c r="B1469" s="258" t="str">
        <f t="shared" si="117"/>
        <v>E 558</v>
      </c>
      <c r="C1469" s="25" t="s">
        <v>3080</v>
      </c>
      <c r="D1469" s="25" t="s">
        <v>3081</v>
      </c>
      <c r="E1469" s="107">
        <f t="shared" si="118"/>
        <v>1369</v>
      </c>
      <c r="F1469" s="14">
        <f t="shared" si="116"/>
        <v>1</v>
      </c>
      <c r="G1469" s="14" t="s">
        <v>45</v>
      </c>
      <c r="H1469" s="2">
        <v>1</v>
      </c>
      <c r="I1469" s="173" t="s">
        <v>3082</v>
      </c>
      <c r="K1469" s="174"/>
    </row>
    <row r="1470" spans="2:11" ht="24" customHeight="1" x14ac:dyDescent="0.25">
      <c r="B1470" s="258" t="str">
        <f t="shared" si="117"/>
        <v>E 559</v>
      </c>
      <c r="C1470" s="25" t="s">
        <v>3083</v>
      </c>
      <c r="D1470" s="25" t="s">
        <v>3084</v>
      </c>
      <c r="E1470" s="107">
        <f t="shared" si="118"/>
        <v>1370</v>
      </c>
      <c r="F1470" s="14">
        <f t="shared" si="116"/>
        <v>1</v>
      </c>
      <c r="G1470" s="14" t="s">
        <v>45</v>
      </c>
      <c r="H1470" s="2">
        <v>1</v>
      </c>
      <c r="I1470" s="173" t="s">
        <v>3085</v>
      </c>
    </row>
    <row r="1471" spans="2:11" x14ac:dyDescent="0.25">
      <c r="B1471" s="258" t="str">
        <f t="shared" si="117"/>
        <v>E 560</v>
      </c>
      <c r="C1471" s="25" t="s">
        <v>3086</v>
      </c>
      <c r="D1471" s="25" t="s">
        <v>3087</v>
      </c>
      <c r="E1471" s="107">
        <f t="shared" si="118"/>
        <v>1371</v>
      </c>
      <c r="F1471" s="14">
        <f t="shared" si="116"/>
        <v>1</v>
      </c>
      <c r="G1471" s="14" t="s">
        <v>45</v>
      </c>
      <c r="H1471" s="2">
        <v>1</v>
      </c>
    </row>
    <row r="1472" spans="2:11" x14ac:dyDescent="0.25">
      <c r="B1472" s="557" t="s">
        <v>3088</v>
      </c>
      <c r="C1472" s="558"/>
      <c r="D1472" s="559"/>
      <c r="E1472" s="105"/>
      <c r="F1472" s="14"/>
      <c r="G1472" s="14"/>
    </row>
    <row r="1473" spans="2:11" x14ac:dyDescent="0.25">
      <c r="B1473" s="122"/>
      <c r="C1473" s="53" t="s">
        <v>3089</v>
      </c>
      <c r="D1473" s="54"/>
      <c r="E1473" s="105"/>
      <c r="F1473" s="14"/>
      <c r="G1473" s="134"/>
    </row>
    <row r="1474" spans="2:11" x14ac:dyDescent="0.25">
      <c r="B1474" s="123" t="str">
        <f>"L "&amp;501</f>
        <v>L 501</v>
      </c>
      <c r="C1474" s="27" t="s">
        <v>3090</v>
      </c>
      <c r="D1474" s="27" t="s">
        <v>3091</v>
      </c>
      <c r="E1474" s="107">
        <f>E1471+1</f>
        <v>1372</v>
      </c>
      <c r="F1474" s="14">
        <f t="shared" ref="F1474:F1485" si="119">H1474</f>
        <v>1</v>
      </c>
      <c r="G1474" s="14" t="s">
        <v>45</v>
      </c>
      <c r="H1474" s="2">
        <v>1</v>
      </c>
      <c r="J1474" s="390" t="s">
        <v>249</v>
      </c>
    </row>
    <row r="1475" spans="2:11" x14ac:dyDescent="0.25">
      <c r="B1475" s="560" t="str">
        <f>"L "&amp;(RIGHT(B1474,3)+1)</f>
        <v>L 502</v>
      </c>
      <c r="C1475" s="27" t="s">
        <v>3092</v>
      </c>
      <c r="D1475" s="27" t="s">
        <v>3093</v>
      </c>
      <c r="E1475" s="107">
        <f t="shared" ref="E1475:E1485" si="120">E1474+1</f>
        <v>1373</v>
      </c>
      <c r="F1475" s="14" t="str">
        <f t="shared" si="119"/>
        <v>Ya</v>
      </c>
      <c r="G1475" s="14" t="s">
        <v>45</v>
      </c>
      <c r="H1475" s="2" t="s">
        <v>249</v>
      </c>
      <c r="J1475" s="390" t="s">
        <v>64</v>
      </c>
      <c r="K1475" s="385" t="s">
        <v>3094</v>
      </c>
    </row>
    <row r="1476" spans="2:11" x14ac:dyDescent="0.25">
      <c r="B1476" s="561"/>
      <c r="C1476" s="27" t="s">
        <v>3095</v>
      </c>
      <c r="D1476" s="27" t="s">
        <v>3096</v>
      </c>
      <c r="E1476" s="107">
        <f t="shared" si="120"/>
        <v>1374</v>
      </c>
      <c r="F1476" s="14" t="str">
        <f t="shared" si="119"/>
        <v>Tidak</v>
      </c>
      <c r="G1476" s="14" t="s">
        <v>45</v>
      </c>
      <c r="H1476" s="2" t="s">
        <v>238</v>
      </c>
      <c r="K1476" s="385" t="s">
        <v>3094</v>
      </c>
    </row>
    <row r="1477" spans="2:11" x14ac:dyDescent="0.25">
      <c r="B1477" s="561"/>
      <c r="C1477" s="27" t="s">
        <v>3097</v>
      </c>
      <c r="D1477" s="27" t="s">
        <v>3098</v>
      </c>
      <c r="E1477" s="107">
        <f t="shared" si="120"/>
        <v>1375</v>
      </c>
      <c r="F1477" s="14" t="str">
        <f t="shared" si="119"/>
        <v>Tidak</v>
      </c>
      <c r="G1477" s="14" t="s">
        <v>45</v>
      </c>
      <c r="H1477" s="2" t="s">
        <v>238</v>
      </c>
      <c r="K1477" s="385" t="s">
        <v>3094</v>
      </c>
    </row>
    <row r="1478" spans="2:11" x14ac:dyDescent="0.25">
      <c r="B1478" s="562"/>
      <c r="C1478" s="27" t="s">
        <v>3099</v>
      </c>
      <c r="D1478" s="27" t="s">
        <v>3100</v>
      </c>
      <c r="E1478" s="107">
        <f t="shared" si="120"/>
        <v>1376</v>
      </c>
      <c r="F1478" s="14" t="str">
        <f t="shared" si="119"/>
        <v>sumur bor</v>
      </c>
      <c r="G1478" s="14" t="s">
        <v>33</v>
      </c>
      <c r="H1478" s="2" t="s">
        <v>3101</v>
      </c>
    </row>
    <row r="1479" spans="2:11" ht="24" customHeight="1" x14ac:dyDescent="0.25">
      <c r="B1479" s="560" t="str">
        <f>"L "&amp;(RIGHT(B1475,3)+1)</f>
        <v>L 503</v>
      </c>
      <c r="C1479" s="27" t="s">
        <v>3102</v>
      </c>
      <c r="D1479" s="27" t="s">
        <v>3103</v>
      </c>
      <c r="E1479" s="107">
        <f t="shared" si="120"/>
        <v>1377</v>
      </c>
      <c r="F1479" s="14">
        <f t="shared" si="119"/>
        <v>0</v>
      </c>
      <c r="G1479" s="14" t="s">
        <v>45</v>
      </c>
      <c r="H1479" s="2">
        <v>0</v>
      </c>
      <c r="I1479" s="173" t="s">
        <v>3104</v>
      </c>
    </row>
    <row r="1480" spans="2:11" ht="24" customHeight="1" x14ac:dyDescent="0.25">
      <c r="B1480" s="561"/>
      <c r="C1480" s="27" t="s">
        <v>3105</v>
      </c>
      <c r="D1480" s="27" t="s">
        <v>3106</v>
      </c>
      <c r="E1480" s="107">
        <f t="shared" si="120"/>
        <v>1378</v>
      </c>
      <c r="F1480" s="14">
        <f t="shared" si="119"/>
        <v>0</v>
      </c>
      <c r="G1480" s="14" t="s">
        <v>45</v>
      </c>
      <c r="H1480" s="2">
        <v>0</v>
      </c>
      <c r="I1480" s="173" t="s">
        <v>3104</v>
      </c>
    </row>
    <row r="1481" spans="2:11" ht="24" customHeight="1" x14ac:dyDescent="0.25">
      <c r="B1481" s="562"/>
      <c r="C1481" s="27" t="s">
        <v>3107</v>
      </c>
      <c r="D1481" s="27" t="s">
        <v>3108</v>
      </c>
      <c r="E1481" s="107">
        <f t="shared" si="120"/>
        <v>1379</v>
      </c>
      <c r="F1481" s="14">
        <f t="shared" si="119"/>
        <v>0</v>
      </c>
      <c r="G1481" s="14" t="s">
        <v>45</v>
      </c>
      <c r="H1481" s="2">
        <v>0</v>
      </c>
      <c r="I1481" s="173" t="s">
        <v>3104</v>
      </c>
    </row>
    <row r="1482" spans="2:11" x14ac:dyDescent="0.25">
      <c r="B1482" s="123" t="str">
        <f>"L "&amp;(RIGHT(B1479,3)+1)</f>
        <v>L 504</v>
      </c>
      <c r="C1482" s="27" t="s">
        <v>3109</v>
      </c>
      <c r="D1482" s="27" t="s">
        <v>3110</v>
      </c>
      <c r="E1482" s="107">
        <f t="shared" si="120"/>
        <v>1380</v>
      </c>
      <c r="F1482" s="14">
        <f t="shared" si="119"/>
        <v>0</v>
      </c>
      <c r="G1482" s="14" t="s">
        <v>45</v>
      </c>
      <c r="H1482" s="2">
        <v>0</v>
      </c>
    </row>
    <row r="1483" spans="2:11" ht="24" customHeight="1" x14ac:dyDescent="0.25">
      <c r="B1483" s="123" t="str">
        <f>"L "&amp;(RIGHT(B1482,3)+1)</f>
        <v>L 505</v>
      </c>
      <c r="C1483" s="27" t="s">
        <v>3111</v>
      </c>
      <c r="D1483" s="27" t="s">
        <v>3112</v>
      </c>
      <c r="E1483" s="107">
        <f t="shared" si="120"/>
        <v>1381</v>
      </c>
      <c r="F1483" s="14">
        <f t="shared" si="119"/>
        <v>0</v>
      </c>
      <c r="G1483" s="14" t="s">
        <v>45</v>
      </c>
      <c r="H1483" s="2">
        <v>0</v>
      </c>
      <c r="I1483" s="173" t="s">
        <v>3104</v>
      </c>
    </row>
    <row r="1484" spans="2:11" x14ac:dyDescent="0.25">
      <c r="B1484" s="123" t="str">
        <f>"L "&amp;(RIGHT(B1483,3)+1)</f>
        <v>L 506</v>
      </c>
      <c r="C1484" s="27" t="s">
        <v>3113</v>
      </c>
      <c r="D1484" s="27" t="s">
        <v>3114</v>
      </c>
      <c r="E1484" s="107">
        <f t="shared" si="120"/>
        <v>1382</v>
      </c>
      <c r="F1484" s="14">
        <f t="shared" si="119"/>
        <v>0</v>
      </c>
      <c r="G1484" s="14" t="s">
        <v>45</v>
      </c>
      <c r="H1484" s="2">
        <v>0</v>
      </c>
    </row>
    <row r="1485" spans="2:11" x14ac:dyDescent="0.25">
      <c r="B1485" s="123" t="str">
        <f>"L "&amp;(RIGHT(B1484,3)+1)</f>
        <v>L 507</v>
      </c>
      <c r="C1485" s="27" t="s">
        <v>3115</v>
      </c>
      <c r="D1485" s="27" t="s">
        <v>3116</v>
      </c>
      <c r="E1485" s="107">
        <f t="shared" si="120"/>
        <v>1383</v>
      </c>
      <c r="F1485" s="14">
        <f t="shared" si="119"/>
        <v>0</v>
      </c>
      <c r="G1485" s="14" t="s">
        <v>45</v>
      </c>
      <c r="H1485" s="2">
        <v>0</v>
      </c>
    </row>
    <row r="1486" spans="2:11" x14ac:dyDescent="0.25">
      <c r="B1486" s="123"/>
      <c r="C1486" s="55" t="s">
        <v>3117</v>
      </c>
      <c r="D1486" s="27"/>
      <c r="E1486" s="105"/>
      <c r="F1486" s="14"/>
      <c r="G1486" s="14"/>
    </row>
    <row r="1487" spans="2:11" ht="24" customHeight="1" x14ac:dyDescent="0.25">
      <c r="B1487" s="560" t="str">
        <f>"L "&amp;(RIGHT(B1485,3)+1)</f>
        <v>L 508</v>
      </c>
      <c r="C1487" s="27" t="s">
        <v>3118</v>
      </c>
      <c r="D1487" s="27" t="s">
        <v>3119</v>
      </c>
      <c r="E1487" s="107">
        <f>E1485+1</f>
        <v>1384</v>
      </c>
      <c r="F1487" s="14">
        <f t="shared" ref="F1487:F1501" si="121">H1487</f>
        <v>0</v>
      </c>
      <c r="G1487" s="14" t="s">
        <v>1559</v>
      </c>
      <c r="H1487" s="2">
        <v>0</v>
      </c>
      <c r="I1487" s="173" t="s">
        <v>3120</v>
      </c>
      <c r="J1487" s="174" t="s">
        <v>1703</v>
      </c>
    </row>
    <row r="1488" spans="2:11" ht="24" customHeight="1" x14ac:dyDescent="0.25">
      <c r="B1488" s="561"/>
      <c r="C1488" s="27" t="s">
        <v>3121</v>
      </c>
      <c r="D1488" s="27" t="s">
        <v>3122</v>
      </c>
      <c r="E1488" s="107">
        <f t="shared" ref="E1488:E1501" si="122">E1487+1</f>
        <v>1385</v>
      </c>
      <c r="F1488" s="14">
        <f t="shared" si="121"/>
        <v>0</v>
      </c>
      <c r="G1488" s="14" t="s">
        <v>1559</v>
      </c>
      <c r="H1488" s="2">
        <v>0</v>
      </c>
      <c r="I1488" s="173" t="s">
        <v>3120</v>
      </c>
      <c r="J1488" s="174" t="s">
        <v>1703</v>
      </c>
    </row>
    <row r="1489" spans="2:10" x14ac:dyDescent="0.25">
      <c r="B1489" s="561"/>
      <c r="C1489" s="27" t="s">
        <v>3123</v>
      </c>
      <c r="D1489" s="27" t="s">
        <v>3124</v>
      </c>
      <c r="E1489" s="107">
        <f t="shared" si="122"/>
        <v>1386</v>
      </c>
      <c r="F1489" s="14">
        <f t="shared" si="121"/>
        <v>0</v>
      </c>
      <c r="G1489" s="14" t="s">
        <v>1559</v>
      </c>
      <c r="H1489" s="2">
        <v>0</v>
      </c>
      <c r="J1489" s="174" t="s">
        <v>1703</v>
      </c>
    </row>
    <row r="1490" spans="2:10" x14ac:dyDescent="0.25">
      <c r="B1490" s="561"/>
      <c r="C1490" s="27" t="s">
        <v>3125</v>
      </c>
      <c r="D1490" s="27" t="s">
        <v>3126</v>
      </c>
      <c r="E1490" s="107">
        <f t="shared" si="122"/>
        <v>1387</v>
      </c>
      <c r="F1490" s="14">
        <f t="shared" si="121"/>
        <v>0</v>
      </c>
      <c r="G1490" s="14" t="s">
        <v>1559</v>
      </c>
      <c r="H1490" s="2">
        <v>0</v>
      </c>
      <c r="J1490" s="174" t="s">
        <v>1703</v>
      </c>
    </row>
    <row r="1491" spans="2:10" x14ac:dyDescent="0.25">
      <c r="B1491" s="561"/>
      <c r="C1491" s="27" t="s">
        <v>3127</v>
      </c>
      <c r="D1491" s="27" t="s">
        <v>3128</v>
      </c>
      <c r="E1491" s="107">
        <f t="shared" si="122"/>
        <v>1388</v>
      </c>
      <c r="F1491" s="14">
        <f t="shared" si="121"/>
        <v>0</v>
      </c>
      <c r="G1491" s="14" t="s">
        <v>1559</v>
      </c>
      <c r="H1491" s="2">
        <v>0</v>
      </c>
      <c r="J1491" s="174" t="s">
        <v>1703</v>
      </c>
    </row>
    <row r="1492" spans="2:10" x14ac:dyDescent="0.25">
      <c r="B1492" s="561"/>
      <c r="C1492" s="27" t="s">
        <v>3129</v>
      </c>
      <c r="D1492" s="27" t="s">
        <v>3130</v>
      </c>
      <c r="E1492" s="107">
        <f t="shared" si="122"/>
        <v>1389</v>
      </c>
      <c r="F1492" s="14">
        <f t="shared" si="121"/>
        <v>0</v>
      </c>
      <c r="G1492" s="14" t="s">
        <v>1559</v>
      </c>
      <c r="H1492" s="2">
        <v>0</v>
      </c>
      <c r="J1492" s="174" t="s">
        <v>1703</v>
      </c>
    </row>
    <row r="1493" spans="2:10" x14ac:dyDescent="0.25">
      <c r="B1493" s="561"/>
      <c r="C1493" s="27" t="s">
        <v>3131</v>
      </c>
      <c r="D1493" s="27" t="s">
        <v>3132</v>
      </c>
      <c r="E1493" s="107">
        <f t="shared" si="122"/>
        <v>1390</v>
      </c>
      <c r="F1493" s="14">
        <f t="shared" si="121"/>
        <v>0</v>
      </c>
      <c r="G1493" s="14" t="s">
        <v>1559</v>
      </c>
      <c r="H1493" s="2">
        <v>0</v>
      </c>
      <c r="J1493" s="174" t="s">
        <v>1703</v>
      </c>
    </row>
    <row r="1494" spans="2:10" ht="24" customHeight="1" x14ac:dyDescent="0.25">
      <c r="B1494" s="561"/>
      <c r="C1494" s="27" t="s">
        <v>3133</v>
      </c>
      <c r="D1494" s="27" t="s">
        <v>3134</v>
      </c>
      <c r="E1494" s="107">
        <f t="shared" si="122"/>
        <v>1391</v>
      </c>
      <c r="F1494" s="14">
        <f t="shared" si="121"/>
        <v>0</v>
      </c>
      <c r="G1494" s="14" t="s">
        <v>1559</v>
      </c>
      <c r="H1494" s="2">
        <v>0</v>
      </c>
      <c r="I1494" s="173" t="s">
        <v>3120</v>
      </c>
      <c r="J1494" s="174" t="s">
        <v>1703</v>
      </c>
    </row>
    <row r="1495" spans="2:10" x14ac:dyDescent="0.25">
      <c r="B1495" s="561"/>
      <c r="C1495" s="27" t="s">
        <v>3135</v>
      </c>
      <c r="D1495" s="27" t="s">
        <v>3136</v>
      </c>
      <c r="E1495" s="107">
        <f t="shared" si="122"/>
        <v>1392</v>
      </c>
      <c r="F1495" s="14">
        <f t="shared" si="121"/>
        <v>0</v>
      </c>
      <c r="G1495" s="14" t="s">
        <v>1559</v>
      </c>
      <c r="H1495" s="2">
        <v>0</v>
      </c>
      <c r="J1495" s="174" t="s">
        <v>1703</v>
      </c>
    </row>
    <row r="1496" spans="2:10" x14ac:dyDescent="0.25">
      <c r="B1496" s="561"/>
      <c r="C1496" s="35" t="s">
        <v>3137</v>
      </c>
      <c r="D1496" s="27" t="s">
        <v>3138</v>
      </c>
      <c r="E1496" s="107">
        <f t="shared" si="122"/>
        <v>1393</v>
      </c>
      <c r="F1496" s="14">
        <f t="shared" si="121"/>
        <v>0</v>
      </c>
      <c r="G1496" s="14" t="s">
        <v>33</v>
      </c>
      <c r="H1496" s="2">
        <v>0</v>
      </c>
    </row>
    <row r="1497" spans="2:10" x14ac:dyDescent="0.25">
      <c r="B1497" s="562"/>
      <c r="C1497" s="36"/>
      <c r="D1497" s="27" t="s">
        <v>3139</v>
      </c>
      <c r="E1497" s="107">
        <f t="shared" si="122"/>
        <v>1394</v>
      </c>
      <c r="F1497" s="14">
        <f t="shared" si="121"/>
        <v>0</v>
      </c>
      <c r="G1497" s="14" t="s">
        <v>1559</v>
      </c>
      <c r="H1497" s="2">
        <v>0</v>
      </c>
      <c r="J1497" s="174" t="s">
        <v>1703</v>
      </c>
    </row>
    <row r="1498" spans="2:10" ht="24" customHeight="1" x14ac:dyDescent="0.25">
      <c r="B1498" s="560" t="str">
        <f>"L "&amp;(RIGHT(B1487,3)+1)</f>
        <v>L 509</v>
      </c>
      <c r="C1498" s="27" t="s">
        <v>3140</v>
      </c>
      <c r="D1498" s="27" t="s">
        <v>3141</v>
      </c>
      <c r="E1498" s="107">
        <f t="shared" si="122"/>
        <v>1395</v>
      </c>
      <c r="F1498" s="14">
        <f t="shared" si="121"/>
        <v>0</v>
      </c>
      <c r="G1498" s="14" t="s">
        <v>45</v>
      </c>
      <c r="H1498" s="2">
        <v>0</v>
      </c>
      <c r="I1498" s="173" t="s">
        <v>3142</v>
      </c>
    </row>
    <row r="1499" spans="2:10" x14ac:dyDescent="0.25">
      <c r="B1499" s="561"/>
      <c r="C1499" s="27" t="s">
        <v>3143</v>
      </c>
      <c r="D1499" s="27" t="s">
        <v>3144</v>
      </c>
      <c r="E1499" s="107">
        <f t="shared" si="122"/>
        <v>1396</v>
      </c>
      <c r="F1499" s="14">
        <f t="shared" si="121"/>
        <v>0</v>
      </c>
      <c r="G1499" s="14" t="s">
        <v>45</v>
      </c>
      <c r="H1499" s="2">
        <v>0</v>
      </c>
    </row>
    <row r="1500" spans="2:10" ht="24" customHeight="1" x14ac:dyDescent="0.25">
      <c r="B1500" s="561"/>
      <c r="C1500" s="27" t="s">
        <v>3145</v>
      </c>
      <c r="D1500" s="27" t="s">
        <v>3146</v>
      </c>
      <c r="E1500" s="107">
        <f t="shared" si="122"/>
        <v>1397</v>
      </c>
      <c r="F1500" s="14">
        <f t="shared" si="121"/>
        <v>0</v>
      </c>
      <c r="G1500" s="14" t="s">
        <v>45</v>
      </c>
      <c r="H1500" s="2">
        <v>0</v>
      </c>
      <c r="I1500" s="173" t="s">
        <v>3142</v>
      </c>
    </row>
    <row r="1501" spans="2:10" ht="24" customHeight="1" x14ac:dyDescent="0.25">
      <c r="B1501" s="562"/>
      <c r="C1501" s="27" t="s">
        <v>3147</v>
      </c>
      <c r="D1501" s="27" t="s">
        <v>3148</v>
      </c>
      <c r="E1501" s="107">
        <f t="shared" si="122"/>
        <v>1398</v>
      </c>
      <c r="F1501" s="14">
        <f t="shared" si="121"/>
        <v>1</v>
      </c>
      <c r="G1501" s="14" t="s">
        <v>45</v>
      </c>
      <c r="H1501" s="2">
        <v>1</v>
      </c>
      <c r="I1501" s="173" t="s">
        <v>3142</v>
      </c>
    </row>
    <row r="1502" spans="2:10" x14ac:dyDescent="0.25">
      <c r="B1502" s="554" t="s">
        <v>3149</v>
      </c>
      <c r="C1502" s="555"/>
      <c r="D1502" s="556"/>
      <c r="E1502" s="105"/>
      <c r="F1502" s="14"/>
      <c r="G1502" s="14"/>
    </row>
    <row r="1503" spans="2:10" x14ac:dyDescent="0.25">
      <c r="B1503" s="515">
        <v>601</v>
      </c>
      <c r="C1503" s="18" t="s">
        <v>3150</v>
      </c>
      <c r="D1503" s="18" t="s">
        <v>3151</v>
      </c>
      <c r="E1503" s="107">
        <f>E1501+1</f>
        <v>1399</v>
      </c>
      <c r="F1503" s="14">
        <f t="shared" ref="F1503:F1511" si="123">H1503</f>
        <v>1</v>
      </c>
      <c r="G1503" s="14" t="s">
        <v>45</v>
      </c>
      <c r="H1503" s="2">
        <v>1</v>
      </c>
    </row>
    <row r="1504" spans="2:10" x14ac:dyDescent="0.25">
      <c r="B1504" s="517"/>
      <c r="C1504" s="18" t="s">
        <v>3152</v>
      </c>
      <c r="D1504" s="18" t="s">
        <v>3153</v>
      </c>
      <c r="E1504" s="107">
        <f t="shared" ref="E1504:E1511" si="124">E1503+1</f>
        <v>1400</v>
      </c>
      <c r="F1504" s="14">
        <f t="shared" si="123"/>
        <v>1</v>
      </c>
      <c r="G1504" s="14" t="s">
        <v>204</v>
      </c>
      <c r="H1504" s="2">
        <v>1</v>
      </c>
      <c r="J1504" s="174" t="s">
        <v>1235</v>
      </c>
    </row>
    <row r="1505" spans="2:11" x14ac:dyDescent="0.25">
      <c r="B1505" s="269">
        <f>B1503+1</f>
        <v>602</v>
      </c>
      <c r="C1505" s="18" t="s">
        <v>3154</v>
      </c>
      <c r="D1505" s="18" t="s">
        <v>3155</v>
      </c>
      <c r="E1505" s="185">
        <f t="shared" si="124"/>
        <v>1401</v>
      </c>
      <c r="F1505" s="183">
        <f t="shared" si="123"/>
        <v>26</v>
      </c>
      <c r="G1505" s="183" t="s">
        <v>204</v>
      </c>
      <c r="H1505" s="188">
        <v>26</v>
      </c>
      <c r="J1505" s="174" t="s">
        <v>1292</v>
      </c>
    </row>
    <row r="1506" spans="2:11" x14ac:dyDescent="0.25">
      <c r="B1506" s="269">
        <f t="shared" ref="B1506:B1511" si="125">B1505+1</f>
        <v>603</v>
      </c>
      <c r="C1506" s="18" t="s">
        <v>3156</v>
      </c>
      <c r="D1506" s="18" t="s">
        <v>3157</v>
      </c>
      <c r="E1506" s="107">
        <f t="shared" si="124"/>
        <v>1402</v>
      </c>
      <c r="F1506" s="14">
        <f t="shared" si="123"/>
        <v>9</v>
      </c>
      <c r="G1506" s="14" t="s">
        <v>204</v>
      </c>
      <c r="H1506" s="2">
        <v>9</v>
      </c>
      <c r="J1506" s="174" t="s">
        <v>1036</v>
      </c>
    </row>
    <row r="1507" spans="2:11" x14ac:dyDescent="0.25">
      <c r="B1507" s="269">
        <f t="shared" si="125"/>
        <v>604</v>
      </c>
      <c r="C1507" s="18" t="s">
        <v>3158</v>
      </c>
      <c r="D1507" s="18" t="s">
        <v>3159</v>
      </c>
      <c r="E1507" s="107">
        <f t="shared" si="124"/>
        <v>1403</v>
      </c>
      <c r="F1507" s="14">
        <f t="shared" si="123"/>
        <v>0</v>
      </c>
      <c r="G1507" s="14" t="s">
        <v>45</v>
      </c>
      <c r="H1507" s="2">
        <v>0</v>
      </c>
    </row>
    <row r="1508" spans="2:11" x14ac:dyDescent="0.25">
      <c r="B1508" s="269">
        <f t="shared" si="125"/>
        <v>605</v>
      </c>
      <c r="C1508" s="18" t="s">
        <v>3160</v>
      </c>
      <c r="D1508" s="18" t="s">
        <v>3161</v>
      </c>
      <c r="E1508" s="107">
        <f t="shared" si="124"/>
        <v>1404</v>
      </c>
      <c r="F1508" s="14" t="str">
        <f t="shared" si="123"/>
        <v>Padi</v>
      </c>
      <c r="G1508" s="14" t="s">
        <v>45</v>
      </c>
      <c r="H1508" s="2" t="s">
        <v>2072</v>
      </c>
    </row>
    <row r="1509" spans="2:11" x14ac:dyDescent="0.25">
      <c r="B1509" s="269">
        <f t="shared" si="125"/>
        <v>606</v>
      </c>
      <c r="C1509" s="18" t="s">
        <v>3162</v>
      </c>
      <c r="D1509" s="18" t="s">
        <v>3163</v>
      </c>
      <c r="E1509" s="107">
        <f t="shared" si="124"/>
        <v>1405</v>
      </c>
      <c r="F1509" s="14">
        <f t="shared" si="123"/>
        <v>0</v>
      </c>
      <c r="G1509" s="14" t="s">
        <v>45</v>
      </c>
      <c r="H1509" s="2">
        <v>0</v>
      </c>
    </row>
    <row r="1510" spans="2:11" x14ac:dyDescent="0.25">
      <c r="B1510" s="269">
        <f t="shared" si="125"/>
        <v>607</v>
      </c>
      <c r="C1510" s="18" t="s">
        <v>3164</v>
      </c>
      <c r="D1510" s="18" t="s">
        <v>3165</v>
      </c>
      <c r="E1510" s="107">
        <f t="shared" si="124"/>
        <v>1406</v>
      </c>
      <c r="F1510" s="14" t="str">
        <f t="shared" si="123"/>
        <v>Tidak Ada</v>
      </c>
      <c r="G1510" s="14" t="s">
        <v>45</v>
      </c>
      <c r="H1510" s="2" t="s">
        <v>64</v>
      </c>
    </row>
    <row r="1511" spans="2:11" x14ac:dyDescent="0.25">
      <c r="B1511" s="269">
        <f t="shared" si="125"/>
        <v>608</v>
      </c>
      <c r="C1511" s="18" t="s">
        <v>3166</v>
      </c>
      <c r="D1511" s="18" t="s">
        <v>3167</v>
      </c>
      <c r="E1511" s="107">
        <f t="shared" si="124"/>
        <v>1407</v>
      </c>
      <c r="F1511" s="14" t="str">
        <f t="shared" si="123"/>
        <v>-</v>
      </c>
      <c r="G1511" s="14" t="s">
        <v>33</v>
      </c>
      <c r="H1511" s="3" t="s">
        <v>47</v>
      </c>
    </row>
    <row r="1512" spans="2:11" x14ac:dyDescent="0.25">
      <c r="B1512" s="124"/>
      <c r="C1512" s="549" t="s">
        <v>3168</v>
      </c>
      <c r="D1512" s="550"/>
      <c r="E1512" s="133"/>
      <c r="F1512" s="14"/>
      <c r="G1512" s="14"/>
    </row>
    <row r="1513" spans="2:11" ht="36" customHeight="1" x14ac:dyDescent="0.25">
      <c r="B1513" s="269">
        <f>B1511+1</f>
        <v>609</v>
      </c>
      <c r="C1513" s="18" t="s">
        <v>3169</v>
      </c>
      <c r="D1513" s="18" t="s">
        <v>3170</v>
      </c>
      <c r="E1513" s="107">
        <f>E1511+1</f>
        <v>1408</v>
      </c>
      <c r="F1513" s="14">
        <f t="shared" ref="F1513:F1529" si="126">H1513</f>
        <v>0</v>
      </c>
      <c r="G1513" s="14" t="s">
        <v>45</v>
      </c>
      <c r="H1513" s="2">
        <v>0</v>
      </c>
    </row>
    <row r="1514" spans="2:11" x14ac:dyDescent="0.25">
      <c r="B1514" s="269">
        <f>B1513+1</f>
        <v>610</v>
      </c>
      <c r="C1514" s="18" t="s">
        <v>3171</v>
      </c>
      <c r="D1514" s="18" t="s">
        <v>3172</v>
      </c>
      <c r="E1514" s="107">
        <f t="shared" ref="E1514:E1529" si="127">E1513+1</f>
        <v>1409</v>
      </c>
      <c r="F1514" s="14" t="str">
        <f t="shared" si="126"/>
        <v>tidak ada</v>
      </c>
      <c r="G1514" s="14" t="s">
        <v>45</v>
      </c>
      <c r="H1514" s="2" t="s">
        <v>2741</v>
      </c>
      <c r="K1514" s="385">
        <v>609</v>
      </c>
    </row>
    <row r="1515" spans="2:11" x14ac:dyDescent="0.25">
      <c r="B1515" s="269">
        <f>B1514+1</f>
        <v>611</v>
      </c>
      <c r="C1515" s="18" t="s">
        <v>3173</v>
      </c>
      <c r="D1515" s="18" t="s">
        <v>3174</v>
      </c>
      <c r="E1515" s="107">
        <f t="shared" si="127"/>
        <v>1410</v>
      </c>
      <c r="F1515" s="14" t="str">
        <f t="shared" si="126"/>
        <v/>
      </c>
      <c r="G1515" s="14" t="s">
        <v>33</v>
      </c>
      <c r="H1515" s="2"/>
    </row>
    <row r="1516" spans="2:11" x14ac:dyDescent="0.25">
      <c r="B1516" s="269">
        <f>B1515+1</f>
        <v>612</v>
      </c>
      <c r="C1516" s="18" t="s">
        <v>3175</v>
      </c>
      <c r="D1516" s="18" t="s">
        <v>3176</v>
      </c>
      <c r="E1516" s="107">
        <f t="shared" si="127"/>
        <v>1411</v>
      </c>
      <c r="F1516" s="14">
        <f t="shared" si="126"/>
        <v>0</v>
      </c>
      <c r="G1516" s="14" t="s">
        <v>45</v>
      </c>
      <c r="H1516" s="2">
        <v>0</v>
      </c>
      <c r="K1516" s="385">
        <v>609</v>
      </c>
    </row>
    <row r="1517" spans="2:11" x14ac:dyDescent="0.25">
      <c r="B1517" s="269">
        <f>B1516+1</f>
        <v>613</v>
      </c>
      <c r="C1517" s="18" t="s">
        <v>3177</v>
      </c>
      <c r="D1517" s="18" t="s">
        <v>3178</v>
      </c>
      <c r="E1517" s="107">
        <f t="shared" si="127"/>
        <v>1412</v>
      </c>
      <c r="F1517" s="14">
        <f t="shared" si="126"/>
        <v>2</v>
      </c>
      <c r="G1517" s="14" t="s">
        <v>45</v>
      </c>
      <c r="H1517" s="2">
        <v>2</v>
      </c>
    </row>
    <row r="1518" spans="2:11" x14ac:dyDescent="0.25">
      <c r="B1518" s="515">
        <f>B1517+1</f>
        <v>614</v>
      </c>
      <c r="C1518" s="18" t="s">
        <v>3179</v>
      </c>
      <c r="D1518" s="18" t="s">
        <v>3180</v>
      </c>
      <c r="E1518" s="107">
        <f t="shared" si="127"/>
        <v>1413</v>
      </c>
      <c r="F1518" s="14">
        <f t="shared" si="126"/>
        <v>0</v>
      </c>
      <c r="G1518" s="14" t="s">
        <v>45</v>
      </c>
      <c r="H1518" s="2">
        <v>0</v>
      </c>
    </row>
    <row r="1519" spans="2:11" x14ac:dyDescent="0.25">
      <c r="B1519" s="516"/>
      <c r="C1519" s="18" t="s">
        <v>3181</v>
      </c>
      <c r="D1519" s="18" t="s">
        <v>3182</v>
      </c>
      <c r="E1519" s="107">
        <f t="shared" si="127"/>
        <v>1414</v>
      </c>
      <c r="F1519" s="14">
        <f t="shared" si="126"/>
        <v>0</v>
      </c>
      <c r="G1519" s="14" t="s">
        <v>45</v>
      </c>
      <c r="H1519" s="2">
        <v>0</v>
      </c>
    </row>
    <row r="1520" spans="2:11" x14ac:dyDescent="0.25">
      <c r="B1520" s="516"/>
      <c r="C1520" s="18" t="s">
        <v>3183</v>
      </c>
      <c r="D1520" s="18" t="s">
        <v>3184</v>
      </c>
      <c r="E1520" s="107">
        <f t="shared" si="127"/>
        <v>1415</v>
      </c>
      <c r="F1520" s="14">
        <f t="shared" si="126"/>
        <v>0</v>
      </c>
      <c r="G1520" s="14" t="s">
        <v>45</v>
      </c>
      <c r="H1520" s="2">
        <v>0</v>
      </c>
    </row>
    <row r="1521" spans="2:10" x14ac:dyDescent="0.25">
      <c r="B1521" s="516"/>
      <c r="C1521" s="18" t="s">
        <v>3185</v>
      </c>
      <c r="D1521" s="18" t="s">
        <v>3186</v>
      </c>
      <c r="E1521" s="107">
        <f t="shared" si="127"/>
        <v>1416</v>
      </c>
      <c r="F1521" s="14">
        <f t="shared" si="126"/>
        <v>1</v>
      </c>
      <c r="G1521" s="14" t="s">
        <v>45</v>
      </c>
      <c r="H1521" s="2">
        <v>1</v>
      </c>
    </row>
    <row r="1522" spans="2:10" x14ac:dyDescent="0.25">
      <c r="B1522" s="516"/>
      <c r="C1522" s="18" t="s">
        <v>3187</v>
      </c>
      <c r="D1522" s="18" t="s">
        <v>3188</v>
      </c>
      <c r="E1522" s="107">
        <f t="shared" si="127"/>
        <v>1417</v>
      </c>
      <c r="F1522" s="14">
        <f t="shared" si="126"/>
        <v>1</v>
      </c>
      <c r="G1522" s="14" t="s">
        <v>45</v>
      </c>
      <c r="H1522" s="2">
        <v>1</v>
      </c>
    </row>
    <row r="1523" spans="2:10" x14ac:dyDescent="0.25">
      <c r="B1523" s="517"/>
      <c r="C1523" s="18" t="s">
        <v>3189</v>
      </c>
      <c r="D1523" s="18" t="s">
        <v>3190</v>
      </c>
      <c r="E1523" s="107">
        <f t="shared" si="127"/>
        <v>1418</v>
      </c>
      <c r="F1523" s="14" t="str">
        <f t="shared" si="126"/>
        <v>tidak ada</v>
      </c>
      <c r="G1523" s="14" t="s">
        <v>33</v>
      </c>
      <c r="H1523" s="2" t="s">
        <v>2741</v>
      </c>
    </row>
    <row r="1524" spans="2:10" x14ac:dyDescent="0.25">
      <c r="B1524" s="269">
        <f>B1518+1</f>
        <v>615</v>
      </c>
      <c r="C1524" s="18" t="s">
        <v>3191</v>
      </c>
      <c r="D1524" s="18" t="s">
        <v>3192</v>
      </c>
      <c r="E1524" s="107">
        <f t="shared" si="127"/>
        <v>1419</v>
      </c>
      <c r="F1524" s="14">
        <f t="shared" si="126"/>
        <v>3</v>
      </c>
      <c r="G1524" s="14" t="s">
        <v>3193</v>
      </c>
      <c r="H1524" s="2">
        <v>3</v>
      </c>
      <c r="J1524" s="174" t="s">
        <v>1271</v>
      </c>
    </row>
    <row r="1525" spans="2:10" x14ac:dyDescent="0.35">
      <c r="B1525" s="269">
        <f>B1524+1</f>
        <v>616</v>
      </c>
      <c r="C1525" s="18" t="s">
        <v>3194</v>
      </c>
      <c r="D1525" s="18" t="s">
        <v>3195</v>
      </c>
      <c r="E1525" s="107">
        <f t="shared" si="127"/>
        <v>1420</v>
      </c>
      <c r="F1525" s="14">
        <f t="shared" si="126"/>
        <v>1</v>
      </c>
      <c r="G1525" s="14" t="s">
        <v>45</v>
      </c>
      <c r="H1525" s="132">
        <v>1</v>
      </c>
      <c r="I1525" s="178"/>
    </row>
    <row r="1526" spans="2:10" x14ac:dyDescent="0.35">
      <c r="B1526" s="269">
        <f>B1525+1</f>
        <v>617</v>
      </c>
      <c r="C1526" s="18" t="s">
        <v>3196</v>
      </c>
      <c r="D1526" s="18" t="s">
        <v>3197</v>
      </c>
      <c r="E1526" s="107">
        <f t="shared" si="127"/>
        <v>1421</v>
      </c>
      <c r="F1526" s="14">
        <f t="shared" si="126"/>
        <v>3</v>
      </c>
      <c r="G1526" s="14" t="s">
        <v>45</v>
      </c>
      <c r="H1526" s="132">
        <v>3</v>
      </c>
      <c r="I1526" s="178"/>
    </row>
    <row r="1527" spans="2:10" x14ac:dyDescent="0.35">
      <c r="B1527" s="269">
        <f>B1526+1</f>
        <v>618</v>
      </c>
      <c r="C1527" s="18" t="s">
        <v>3198</v>
      </c>
      <c r="D1527" s="18" t="s">
        <v>3199</v>
      </c>
      <c r="E1527" s="107">
        <f t="shared" si="127"/>
        <v>1422</v>
      </c>
      <c r="F1527" s="14" t="str">
        <f t="shared" si="126"/>
        <v>Ekonomi</v>
      </c>
      <c r="G1527" s="14" t="s">
        <v>33</v>
      </c>
      <c r="H1527" s="132" t="s">
        <v>3200</v>
      </c>
      <c r="I1527" s="178"/>
    </row>
    <row r="1528" spans="2:10" x14ac:dyDescent="0.35">
      <c r="B1528" s="269">
        <f>B1527+1</f>
        <v>619</v>
      </c>
      <c r="C1528" s="18" t="s">
        <v>3201</v>
      </c>
      <c r="D1528" s="18" t="s">
        <v>3202</v>
      </c>
      <c r="E1528" s="107">
        <f t="shared" si="127"/>
        <v>1423</v>
      </c>
      <c r="F1528" s="14">
        <f t="shared" si="126"/>
        <v>0</v>
      </c>
      <c r="G1528" s="14" t="s">
        <v>45</v>
      </c>
      <c r="H1528" s="132">
        <v>0</v>
      </c>
      <c r="I1528" s="178"/>
    </row>
    <row r="1529" spans="2:10" x14ac:dyDescent="0.35">
      <c r="B1529" s="269">
        <f>B1528+1</f>
        <v>620</v>
      </c>
      <c r="C1529" s="18" t="s">
        <v>3203</v>
      </c>
      <c r="D1529" s="18" t="s">
        <v>3204</v>
      </c>
      <c r="E1529" s="107">
        <f t="shared" si="127"/>
        <v>1424</v>
      </c>
      <c r="F1529" s="14">
        <f t="shared" si="126"/>
        <v>2</v>
      </c>
      <c r="G1529" s="14" t="s">
        <v>45</v>
      </c>
      <c r="H1529" s="132">
        <v>2</v>
      </c>
      <c r="I1529" s="178"/>
    </row>
    <row r="1530" spans="2:10" x14ac:dyDescent="0.25">
      <c r="B1530" s="125"/>
      <c r="C1530" s="110" t="s">
        <v>3205</v>
      </c>
      <c r="D1530" s="111"/>
      <c r="E1530" s="19"/>
      <c r="F1530" s="14"/>
      <c r="G1530" s="14"/>
    </row>
    <row r="1531" spans="2:10" ht="42" customHeight="1" x14ac:dyDescent="0.25">
      <c r="B1531" s="265">
        <f>B1529+1</f>
        <v>621</v>
      </c>
      <c r="C1531" s="18" t="s">
        <v>3206</v>
      </c>
      <c r="D1531" s="18" t="s">
        <v>3207</v>
      </c>
      <c r="E1531" s="107">
        <f>E1529+1</f>
        <v>1425</v>
      </c>
      <c r="F1531" s="14" t="str">
        <f t="shared" ref="F1531:F1541" si="128">H1531</f>
        <v>Tidak Ada</v>
      </c>
      <c r="G1531" s="14" t="s">
        <v>45</v>
      </c>
      <c r="H1531" s="2" t="s">
        <v>64</v>
      </c>
    </row>
    <row r="1532" spans="2:10" x14ac:dyDescent="0.25">
      <c r="B1532" s="502">
        <f>B1531+1</f>
        <v>622</v>
      </c>
      <c r="C1532" s="18" t="s">
        <v>3208</v>
      </c>
      <c r="D1532" s="18" t="s">
        <v>3209</v>
      </c>
      <c r="E1532" s="107">
        <f t="shared" ref="E1532:E1541" si="129">E1531+1</f>
        <v>1426</v>
      </c>
      <c r="F1532" s="14" t="str">
        <f t="shared" si="128"/>
        <v>Tidak Ada</v>
      </c>
      <c r="G1532" s="14" t="s">
        <v>45</v>
      </c>
      <c r="H1532" s="2" t="s">
        <v>64</v>
      </c>
    </row>
    <row r="1533" spans="2:10" x14ac:dyDescent="0.25">
      <c r="B1533" s="503"/>
      <c r="C1533" s="18" t="s">
        <v>3210</v>
      </c>
      <c r="D1533" s="18" t="s">
        <v>3211</v>
      </c>
      <c r="E1533" s="107">
        <f t="shared" si="129"/>
        <v>1427</v>
      </c>
      <c r="F1533" s="14" t="str">
        <f t="shared" si="128"/>
        <v>Tidak Ada</v>
      </c>
      <c r="G1533" s="14" t="s">
        <v>45</v>
      </c>
      <c r="H1533" s="2" t="s">
        <v>64</v>
      </c>
    </row>
    <row r="1534" spans="2:10" x14ac:dyDescent="0.25">
      <c r="B1534" s="503"/>
      <c r="C1534" s="18" t="s">
        <v>3212</v>
      </c>
      <c r="D1534" s="18" t="s">
        <v>3213</v>
      </c>
      <c r="E1534" s="107">
        <f t="shared" si="129"/>
        <v>1428</v>
      </c>
      <c r="F1534" s="14" t="str">
        <f t="shared" si="128"/>
        <v>Tidak Ada</v>
      </c>
      <c r="G1534" s="14" t="s">
        <v>45</v>
      </c>
      <c r="H1534" s="2" t="s">
        <v>64</v>
      </c>
    </row>
    <row r="1535" spans="2:10" x14ac:dyDescent="0.25">
      <c r="B1535" s="503"/>
      <c r="C1535" s="18" t="s">
        <v>3214</v>
      </c>
      <c r="D1535" s="18" t="s">
        <v>3215</v>
      </c>
      <c r="E1535" s="107">
        <f t="shared" si="129"/>
        <v>1429</v>
      </c>
      <c r="F1535" s="14" t="str">
        <f t="shared" si="128"/>
        <v>Tidak Ada</v>
      </c>
      <c r="G1535" s="14" t="s">
        <v>45</v>
      </c>
      <c r="H1535" s="2" t="s">
        <v>64</v>
      </c>
    </row>
    <row r="1536" spans="2:10" x14ac:dyDescent="0.25">
      <c r="B1536" s="503"/>
      <c r="C1536" s="18" t="s">
        <v>3216</v>
      </c>
      <c r="D1536" s="18" t="s">
        <v>3217</v>
      </c>
      <c r="E1536" s="107">
        <f t="shared" si="129"/>
        <v>1430</v>
      </c>
      <c r="F1536" s="14" t="str">
        <f t="shared" si="128"/>
        <v>Tidak Ada</v>
      </c>
      <c r="G1536" s="14" t="s">
        <v>45</v>
      </c>
      <c r="H1536" s="2" t="s">
        <v>64</v>
      </c>
    </row>
    <row r="1537" spans="2:8" x14ac:dyDescent="0.25">
      <c r="B1537" s="503"/>
      <c r="C1537" s="18" t="s">
        <v>3218</v>
      </c>
      <c r="D1537" s="18" t="s">
        <v>3219</v>
      </c>
      <c r="E1537" s="107">
        <f t="shared" si="129"/>
        <v>1431</v>
      </c>
      <c r="F1537" s="14" t="str">
        <f t="shared" si="128"/>
        <v>Tidak Ada</v>
      </c>
      <c r="G1537" s="14" t="s">
        <v>45</v>
      </c>
      <c r="H1537" s="2" t="s">
        <v>64</v>
      </c>
    </row>
    <row r="1538" spans="2:8" x14ac:dyDescent="0.25">
      <c r="B1538" s="503"/>
      <c r="C1538" s="18" t="s">
        <v>3220</v>
      </c>
      <c r="D1538" s="18" t="s">
        <v>3221</v>
      </c>
      <c r="E1538" s="107">
        <f t="shared" si="129"/>
        <v>1432</v>
      </c>
      <c r="F1538" s="14" t="str">
        <f t="shared" si="128"/>
        <v>Tidak Ada</v>
      </c>
      <c r="G1538" s="14" t="s">
        <v>45</v>
      </c>
      <c r="H1538" s="2" t="s">
        <v>64</v>
      </c>
    </row>
    <row r="1539" spans="2:8" x14ac:dyDescent="0.25">
      <c r="B1539" s="503"/>
      <c r="C1539" s="18" t="s">
        <v>3222</v>
      </c>
      <c r="D1539" s="18" t="s">
        <v>3223</v>
      </c>
      <c r="E1539" s="107">
        <f t="shared" si="129"/>
        <v>1433</v>
      </c>
      <c r="F1539" s="14" t="str">
        <f t="shared" si="128"/>
        <v>Tidak Ada</v>
      </c>
      <c r="G1539" s="14" t="s">
        <v>45</v>
      </c>
      <c r="H1539" s="2" t="s">
        <v>64</v>
      </c>
    </row>
    <row r="1540" spans="2:8" x14ac:dyDescent="0.25">
      <c r="B1540" s="504"/>
      <c r="C1540" s="18" t="s">
        <v>3224</v>
      </c>
      <c r="D1540" s="18" t="s">
        <v>3225</v>
      </c>
      <c r="E1540" s="107">
        <f t="shared" si="129"/>
        <v>1434</v>
      </c>
      <c r="F1540" s="14" t="str">
        <f t="shared" si="128"/>
        <v>Ada</v>
      </c>
      <c r="G1540" s="14" t="s">
        <v>45</v>
      </c>
      <c r="H1540" s="2" t="s">
        <v>148</v>
      </c>
    </row>
    <row r="1541" spans="2:8" x14ac:dyDescent="0.25">
      <c r="B1541" s="265">
        <f>B1532+1</f>
        <v>623</v>
      </c>
      <c r="C1541" s="18" t="s">
        <v>3226</v>
      </c>
      <c r="D1541" s="18" t="s">
        <v>3227</v>
      </c>
      <c r="E1541" s="107">
        <f t="shared" si="129"/>
        <v>1435</v>
      </c>
      <c r="F1541" s="14">
        <f t="shared" si="128"/>
        <v>39220000</v>
      </c>
      <c r="G1541" s="24" t="s">
        <v>1398</v>
      </c>
      <c r="H1541" s="7">
        <v>39220000</v>
      </c>
    </row>
    <row r="1542" spans="2:8" ht="21" customHeight="1" x14ac:dyDescent="0.25">
      <c r="B1542" s="569" t="s">
        <v>3228</v>
      </c>
      <c r="C1542" s="570"/>
      <c r="D1542" s="571"/>
      <c r="E1542" s="133"/>
      <c r="F1542" s="14"/>
      <c r="G1542" s="14"/>
    </row>
    <row r="1543" spans="2:8" x14ac:dyDescent="0.25">
      <c r="B1543" s="265"/>
      <c r="C1543" s="90" t="s">
        <v>3229</v>
      </c>
      <c r="D1543" s="89"/>
      <c r="E1543" s="133"/>
      <c r="F1543" s="14"/>
      <c r="G1543" s="14"/>
    </row>
    <row r="1544" spans="2:8" x14ac:dyDescent="0.25">
      <c r="B1544" s="265">
        <v>701</v>
      </c>
      <c r="C1544" s="91" t="s">
        <v>3230</v>
      </c>
      <c r="D1544" s="88" t="s">
        <v>3231</v>
      </c>
      <c r="E1544" s="107">
        <f>E1541+1</f>
        <v>1436</v>
      </c>
      <c r="F1544" s="14">
        <f>H1544</f>
        <v>0</v>
      </c>
      <c r="G1544" s="14" t="s">
        <v>45</v>
      </c>
      <c r="H1544" s="2">
        <v>0</v>
      </c>
    </row>
    <row r="1545" spans="2:8" x14ac:dyDescent="0.25">
      <c r="B1545" s="265"/>
      <c r="C1545" s="92" t="s">
        <v>3232</v>
      </c>
      <c r="D1545" s="88"/>
      <c r="E1545" s="143"/>
      <c r="F1545" s="14"/>
      <c r="G1545" s="14"/>
    </row>
    <row r="1546" spans="2:8" x14ac:dyDescent="0.25">
      <c r="B1546" s="502">
        <f>B1544+1</f>
        <v>702</v>
      </c>
      <c r="C1546" s="91" t="s">
        <v>3233</v>
      </c>
      <c r="D1546" s="88" t="s">
        <v>3234</v>
      </c>
      <c r="E1546" s="107">
        <f>E1544+1</f>
        <v>1437</v>
      </c>
      <c r="F1546" s="14">
        <f t="shared" ref="F1546:F1554" si="130">H1546</f>
        <v>0</v>
      </c>
      <c r="G1546" s="14" t="s">
        <v>45</v>
      </c>
      <c r="H1546" s="2">
        <v>0</v>
      </c>
    </row>
    <row r="1547" spans="2:8" x14ac:dyDescent="0.25">
      <c r="B1547" s="503"/>
      <c r="C1547" s="91" t="s">
        <v>3235</v>
      </c>
      <c r="D1547" s="88" t="s">
        <v>3236</v>
      </c>
      <c r="E1547" s="107">
        <f t="shared" ref="E1547:E1554" si="131">E1546+1</f>
        <v>1438</v>
      </c>
      <c r="F1547" s="14">
        <f t="shared" si="130"/>
        <v>0</v>
      </c>
      <c r="G1547" s="14" t="s">
        <v>45</v>
      </c>
      <c r="H1547" s="2">
        <v>0</v>
      </c>
    </row>
    <row r="1548" spans="2:8" x14ac:dyDescent="0.25">
      <c r="B1548" s="503"/>
      <c r="C1548" s="91" t="s">
        <v>3237</v>
      </c>
      <c r="D1548" s="88" t="s">
        <v>3238</v>
      </c>
      <c r="E1548" s="107">
        <f t="shared" si="131"/>
        <v>1439</v>
      </c>
      <c r="F1548" s="14" t="str">
        <f t="shared" si="130"/>
        <v>tidak ada</v>
      </c>
      <c r="G1548" s="14" t="s">
        <v>33</v>
      </c>
      <c r="H1548" s="2" t="s">
        <v>2741</v>
      </c>
    </row>
    <row r="1549" spans="2:8" x14ac:dyDescent="0.25">
      <c r="B1549" s="503"/>
      <c r="C1549" s="91" t="s">
        <v>3239</v>
      </c>
      <c r="D1549" s="88" t="s">
        <v>3240</v>
      </c>
      <c r="E1549" s="107">
        <f t="shared" si="131"/>
        <v>1440</v>
      </c>
      <c r="F1549" s="14" t="str">
        <f t="shared" si="130"/>
        <v>tidak ada</v>
      </c>
      <c r="G1549" s="14" t="s">
        <v>33</v>
      </c>
      <c r="H1549" s="2" t="s">
        <v>2741</v>
      </c>
    </row>
    <row r="1550" spans="2:8" x14ac:dyDescent="0.25">
      <c r="B1550" s="503"/>
      <c r="C1550" s="91" t="s">
        <v>3241</v>
      </c>
      <c r="D1550" s="88" t="s">
        <v>3242</v>
      </c>
      <c r="E1550" s="107">
        <f t="shared" si="131"/>
        <v>1441</v>
      </c>
      <c r="F1550" s="14" t="str">
        <f t="shared" si="130"/>
        <v>tidak ada</v>
      </c>
      <c r="G1550" s="14" t="s">
        <v>33</v>
      </c>
      <c r="H1550" s="2" t="s">
        <v>2741</v>
      </c>
    </row>
    <row r="1551" spans="2:8" x14ac:dyDescent="0.25">
      <c r="B1551" s="503"/>
      <c r="C1551" s="91" t="s">
        <v>3243</v>
      </c>
      <c r="D1551" s="88" t="s">
        <v>3244</v>
      </c>
      <c r="E1551" s="107">
        <f t="shared" si="131"/>
        <v>1442</v>
      </c>
      <c r="F1551" s="14" t="str">
        <f t="shared" si="130"/>
        <v>tidak ada</v>
      </c>
      <c r="G1551" s="14" t="s">
        <v>33</v>
      </c>
      <c r="H1551" s="2" t="s">
        <v>2741</v>
      </c>
    </row>
    <row r="1552" spans="2:8" x14ac:dyDescent="0.25">
      <c r="B1552" s="503"/>
      <c r="C1552" s="18" t="s">
        <v>3245</v>
      </c>
      <c r="D1552" s="18" t="s">
        <v>3246</v>
      </c>
      <c r="E1552" s="107">
        <f t="shared" si="131"/>
        <v>1443</v>
      </c>
      <c r="F1552" s="402">
        <f t="shared" si="130"/>
        <v>0</v>
      </c>
      <c r="G1552" s="14" t="s">
        <v>3247</v>
      </c>
      <c r="H1552" s="401">
        <v>0</v>
      </c>
    </row>
    <row r="1553" spans="2:8" x14ac:dyDescent="0.25">
      <c r="B1553" s="503"/>
      <c r="C1553" s="18" t="s">
        <v>3248</v>
      </c>
      <c r="D1553" s="18" t="s">
        <v>3249</v>
      </c>
      <c r="E1553" s="107">
        <f t="shared" si="131"/>
        <v>1444</v>
      </c>
      <c r="F1553" s="14">
        <f t="shared" si="130"/>
        <v>0</v>
      </c>
      <c r="G1553" s="14" t="s">
        <v>45</v>
      </c>
      <c r="H1553" s="2">
        <v>0</v>
      </c>
    </row>
    <row r="1554" spans="2:8" x14ac:dyDescent="0.25">
      <c r="B1554" s="504"/>
      <c r="C1554" s="18" t="s">
        <v>3250</v>
      </c>
      <c r="D1554" s="18" t="s">
        <v>3251</v>
      </c>
      <c r="E1554" s="107">
        <f t="shared" si="131"/>
        <v>1445</v>
      </c>
      <c r="F1554" s="14">
        <f t="shared" si="130"/>
        <v>0</v>
      </c>
      <c r="G1554" s="14" t="s">
        <v>33</v>
      </c>
      <c r="H1554" s="2">
        <v>0</v>
      </c>
    </row>
    <row r="1555" spans="2:8" x14ac:dyDescent="0.25">
      <c r="B1555" s="126"/>
      <c r="C1555" s="551" t="s">
        <v>3252</v>
      </c>
      <c r="D1555" s="552"/>
      <c r="E1555" s="139"/>
      <c r="F1555" s="14"/>
      <c r="G1555" s="14"/>
    </row>
    <row r="1556" spans="2:8" x14ac:dyDescent="0.25">
      <c r="B1556" s="502">
        <f>B1546+1</f>
        <v>703</v>
      </c>
      <c r="C1556" s="91" t="s">
        <v>3253</v>
      </c>
      <c r="D1556" s="88" t="s">
        <v>3254</v>
      </c>
      <c r="E1556" s="107">
        <f>E1554+1</f>
        <v>1446</v>
      </c>
      <c r="F1556" s="14">
        <f t="shared" ref="F1556:F1564" si="132">H1556</f>
        <v>0</v>
      </c>
      <c r="G1556" s="14" t="s">
        <v>45</v>
      </c>
      <c r="H1556" s="2">
        <v>0</v>
      </c>
    </row>
    <row r="1557" spans="2:8" x14ac:dyDescent="0.25">
      <c r="B1557" s="503"/>
      <c r="C1557" s="91" t="s">
        <v>3255</v>
      </c>
      <c r="D1557" s="88" t="s">
        <v>3236</v>
      </c>
      <c r="E1557" s="107">
        <f t="shared" ref="E1557:E1564" si="133">E1556+1</f>
        <v>1447</v>
      </c>
      <c r="F1557" s="14">
        <f t="shared" si="132"/>
        <v>0</v>
      </c>
      <c r="G1557" s="14" t="s">
        <v>45</v>
      </c>
      <c r="H1557" s="2">
        <v>0</v>
      </c>
    </row>
    <row r="1558" spans="2:8" x14ac:dyDescent="0.25">
      <c r="B1558" s="503"/>
      <c r="C1558" s="91" t="s">
        <v>3237</v>
      </c>
      <c r="D1558" s="88" t="s">
        <v>3238</v>
      </c>
      <c r="E1558" s="107">
        <f t="shared" si="133"/>
        <v>1448</v>
      </c>
      <c r="F1558" s="14" t="str">
        <f t="shared" si="132"/>
        <v>tidak ada</v>
      </c>
      <c r="G1558" s="14" t="s">
        <v>33</v>
      </c>
      <c r="H1558" s="2" t="s">
        <v>2741</v>
      </c>
    </row>
    <row r="1559" spans="2:8" x14ac:dyDescent="0.25">
      <c r="B1559" s="503"/>
      <c r="C1559" s="91" t="s">
        <v>3239</v>
      </c>
      <c r="D1559" s="88" t="s">
        <v>3256</v>
      </c>
      <c r="E1559" s="107">
        <f t="shared" si="133"/>
        <v>1449</v>
      </c>
      <c r="F1559" s="14" t="str">
        <f t="shared" si="132"/>
        <v>tidak ada</v>
      </c>
      <c r="G1559" s="14" t="s">
        <v>33</v>
      </c>
      <c r="H1559" s="2" t="s">
        <v>2741</v>
      </c>
    </row>
    <row r="1560" spans="2:8" x14ac:dyDescent="0.25">
      <c r="B1560" s="503"/>
      <c r="C1560" s="91" t="s">
        <v>3241</v>
      </c>
      <c r="D1560" s="88" t="s">
        <v>3242</v>
      </c>
      <c r="E1560" s="107">
        <f t="shared" si="133"/>
        <v>1450</v>
      </c>
      <c r="F1560" s="14" t="str">
        <f t="shared" si="132"/>
        <v>tidak ada</v>
      </c>
      <c r="G1560" s="14" t="s">
        <v>33</v>
      </c>
      <c r="H1560" s="2" t="s">
        <v>2741</v>
      </c>
    </row>
    <row r="1561" spans="2:8" x14ac:dyDescent="0.25">
      <c r="B1561" s="503"/>
      <c r="C1561" s="91" t="s">
        <v>3243</v>
      </c>
      <c r="D1561" s="88" t="s">
        <v>3244</v>
      </c>
      <c r="E1561" s="107">
        <f t="shared" si="133"/>
        <v>1451</v>
      </c>
      <c r="F1561" s="14" t="str">
        <f t="shared" si="132"/>
        <v>tidak ada</v>
      </c>
      <c r="G1561" s="14" t="s">
        <v>33</v>
      </c>
      <c r="H1561" s="2" t="s">
        <v>2741</v>
      </c>
    </row>
    <row r="1562" spans="2:8" x14ac:dyDescent="0.25">
      <c r="B1562" s="503"/>
      <c r="C1562" s="18" t="s">
        <v>3245</v>
      </c>
      <c r="D1562" s="18" t="s">
        <v>3246</v>
      </c>
      <c r="E1562" s="107">
        <f t="shared" si="133"/>
        <v>1452</v>
      </c>
      <c r="F1562" s="402">
        <f t="shared" si="132"/>
        <v>0</v>
      </c>
      <c r="G1562" s="14" t="s">
        <v>3247</v>
      </c>
      <c r="H1562" s="401">
        <v>0</v>
      </c>
    </row>
    <row r="1563" spans="2:8" x14ac:dyDescent="0.25">
      <c r="B1563" s="503"/>
      <c r="C1563" s="18" t="s">
        <v>3248</v>
      </c>
      <c r="D1563" s="18" t="s">
        <v>3249</v>
      </c>
      <c r="E1563" s="107">
        <f t="shared" si="133"/>
        <v>1453</v>
      </c>
      <c r="F1563" s="14">
        <f t="shared" si="132"/>
        <v>0</v>
      </c>
      <c r="G1563" s="14" t="s">
        <v>45</v>
      </c>
      <c r="H1563" s="2">
        <v>0</v>
      </c>
    </row>
    <row r="1564" spans="2:8" x14ac:dyDescent="0.25">
      <c r="B1564" s="504"/>
      <c r="C1564" s="18" t="s">
        <v>3250</v>
      </c>
      <c r="D1564" s="18" t="s">
        <v>3251</v>
      </c>
      <c r="E1564" s="107">
        <f t="shared" si="133"/>
        <v>1454</v>
      </c>
      <c r="F1564" s="14" t="str">
        <f t="shared" si="132"/>
        <v>tidak ada</v>
      </c>
      <c r="G1564" s="14" t="s">
        <v>33</v>
      </c>
      <c r="H1564" s="2" t="s">
        <v>2741</v>
      </c>
    </row>
    <row r="1565" spans="2:8" x14ac:dyDescent="0.25">
      <c r="B1565" s="126"/>
      <c r="C1565" s="551" t="s">
        <v>3257</v>
      </c>
      <c r="D1565" s="552"/>
      <c r="E1565" s="139"/>
      <c r="F1565" s="14"/>
      <c r="G1565" s="14"/>
    </row>
    <row r="1566" spans="2:8" x14ac:dyDescent="0.25">
      <c r="B1566" s="502">
        <f>B1556+1</f>
        <v>704</v>
      </c>
      <c r="C1566" s="18" t="s">
        <v>3258</v>
      </c>
      <c r="D1566" s="18" t="s">
        <v>3259</v>
      </c>
      <c r="E1566" s="107">
        <f>E1564+1</f>
        <v>1455</v>
      </c>
      <c r="F1566" s="14">
        <f t="shared" ref="F1566:F1580" si="134">H1566</f>
        <v>0</v>
      </c>
      <c r="G1566" s="14" t="s">
        <v>45</v>
      </c>
      <c r="H1566" s="2">
        <v>0</v>
      </c>
    </row>
    <row r="1567" spans="2:8" x14ac:dyDescent="0.25">
      <c r="B1567" s="503"/>
      <c r="C1567" s="18" t="s">
        <v>3260</v>
      </c>
      <c r="D1567" s="18" t="s">
        <v>3261</v>
      </c>
      <c r="E1567" s="107">
        <f t="shared" ref="E1567:E1580" si="135">E1566+1</f>
        <v>1456</v>
      </c>
      <c r="F1567" s="14">
        <f t="shared" si="134"/>
        <v>0</v>
      </c>
      <c r="G1567" s="14" t="s">
        <v>45</v>
      </c>
      <c r="H1567" s="2">
        <v>0</v>
      </c>
    </row>
    <row r="1568" spans="2:8" x14ac:dyDescent="0.25">
      <c r="B1568" s="503"/>
      <c r="C1568" s="18" t="s">
        <v>3262</v>
      </c>
      <c r="D1568" s="18" t="s">
        <v>3263</v>
      </c>
      <c r="E1568" s="107">
        <f t="shared" si="135"/>
        <v>1457</v>
      </c>
      <c r="F1568" s="14">
        <f t="shared" si="134"/>
        <v>0</v>
      </c>
      <c r="G1568" s="14" t="s">
        <v>45</v>
      </c>
      <c r="H1568" s="2">
        <v>0</v>
      </c>
    </row>
    <row r="1569" spans="2:8" x14ac:dyDescent="0.25">
      <c r="B1569" s="503"/>
      <c r="C1569" s="18" t="s">
        <v>3264</v>
      </c>
      <c r="D1569" s="18" t="s">
        <v>3265</v>
      </c>
      <c r="E1569" s="107">
        <f t="shared" si="135"/>
        <v>1458</v>
      </c>
      <c r="F1569" s="14">
        <f t="shared" si="134"/>
        <v>0</v>
      </c>
      <c r="G1569" s="14" t="s">
        <v>45</v>
      </c>
      <c r="H1569" s="2">
        <v>0</v>
      </c>
    </row>
    <row r="1570" spans="2:8" x14ac:dyDescent="0.25">
      <c r="B1570" s="503"/>
      <c r="C1570" s="18" t="s">
        <v>3266</v>
      </c>
      <c r="D1570" s="18" t="s">
        <v>3267</v>
      </c>
      <c r="E1570" s="107">
        <f t="shared" si="135"/>
        <v>1459</v>
      </c>
      <c r="F1570" s="14">
        <f t="shared" si="134"/>
        <v>0</v>
      </c>
      <c r="G1570" s="14" t="s">
        <v>45</v>
      </c>
      <c r="H1570" s="2">
        <v>0</v>
      </c>
    </row>
    <row r="1571" spans="2:8" x14ac:dyDescent="0.25">
      <c r="B1571" s="504"/>
      <c r="C1571" s="18" t="s">
        <v>3268</v>
      </c>
      <c r="D1571" s="18" t="s">
        <v>3269</v>
      </c>
      <c r="E1571" s="107">
        <f t="shared" si="135"/>
        <v>1460</v>
      </c>
      <c r="F1571" s="14" t="str">
        <f t="shared" si="134"/>
        <v>tidak ada</v>
      </c>
      <c r="G1571" s="14" t="s">
        <v>33</v>
      </c>
      <c r="H1571" s="2" t="s">
        <v>2741</v>
      </c>
    </row>
    <row r="1572" spans="2:8" x14ac:dyDescent="0.25">
      <c r="B1572" s="265">
        <f>B1566+1</f>
        <v>705</v>
      </c>
      <c r="C1572" s="18" t="s">
        <v>3270</v>
      </c>
      <c r="D1572" s="18" t="s">
        <v>3271</v>
      </c>
      <c r="E1572" s="107">
        <f t="shared" si="135"/>
        <v>1461</v>
      </c>
      <c r="F1572" s="14" t="str">
        <f t="shared" si="134"/>
        <v>tidak ada</v>
      </c>
      <c r="G1572" s="14" t="s">
        <v>33</v>
      </c>
      <c r="H1572" s="2" t="s">
        <v>2741</v>
      </c>
    </row>
    <row r="1573" spans="2:8" x14ac:dyDescent="0.25">
      <c r="B1573" s="553">
        <f>B1572+1</f>
        <v>706</v>
      </c>
      <c r="C1573" s="18" t="s">
        <v>3272</v>
      </c>
      <c r="D1573" s="18" t="s">
        <v>3273</v>
      </c>
      <c r="E1573" s="107">
        <f t="shared" si="135"/>
        <v>1462</v>
      </c>
      <c r="F1573" s="14">
        <f t="shared" si="134"/>
        <v>0</v>
      </c>
      <c r="G1573" s="14" t="s">
        <v>45</v>
      </c>
      <c r="H1573" s="2">
        <v>0</v>
      </c>
    </row>
    <row r="1574" spans="2:8" x14ac:dyDescent="0.25">
      <c r="B1574" s="553"/>
      <c r="C1574" s="18" t="s">
        <v>3274</v>
      </c>
      <c r="D1574" s="18" t="s">
        <v>3275</v>
      </c>
      <c r="E1574" s="107">
        <f t="shared" si="135"/>
        <v>1463</v>
      </c>
      <c r="F1574" s="14" t="str">
        <f t="shared" si="134"/>
        <v>tidak ada</v>
      </c>
      <c r="G1574" s="14" t="s">
        <v>33</v>
      </c>
      <c r="H1574" s="2" t="s">
        <v>2741</v>
      </c>
    </row>
    <row r="1575" spans="2:8" x14ac:dyDescent="0.25">
      <c r="B1575" s="265">
        <f>B1573+1</f>
        <v>707</v>
      </c>
      <c r="C1575" s="18" t="s">
        <v>3276</v>
      </c>
      <c r="D1575" s="18" t="s">
        <v>3277</v>
      </c>
      <c r="E1575" s="107">
        <f t="shared" si="135"/>
        <v>1464</v>
      </c>
      <c r="F1575" s="14">
        <f t="shared" si="134"/>
        <v>0</v>
      </c>
      <c r="G1575" s="14" t="s">
        <v>45</v>
      </c>
      <c r="H1575" s="2">
        <v>0</v>
      </c>
    </row>
    <row r="1576" spans="2:8" x14ac:dyDescent="0.25">
      <c r="B1576" s="265">
        <f>B1575+1</f>
        <v>708</v>
      </c>
      <c r="C1576" s="18" t="s">
        <v>3278</v>
      </c>
      <c r="D1576" s="18" t="s">
        <v>3279</v>
      </c>
      <c r="E1576" s="107">
        <f t="shared" si="135"/>
        <v>1465</v>
      </c>
      <c r="F1576" s="14" t="str">
        <f t="shared" si="134"/>
        <v>tidak ada</v>
      </c>
      <c r="G1576" s="14" t="s">
        <v>33</v>
      </c>
      <c r="H1576" s="2" t="s">
        <v>2741</v>
      </c>
    </row>
    <row r="1577" spans="2:8" x14ac:dyDescent="0.25">
      <c r="B1577" s="265">
        <f>B1576+1</f>
        <v>709</v>
      </c>
      <c r="C1577" s="18" t="s">
        <v>3280</v>
      </c>
      <c r="D1577" s="18" t="s">
        <v>3281</v>
      </c>
      <c r="E1577" s="107">
        <f t="shared" si="135"/>
        <v>1466</v>
      </c>
      <c r="F1577" s="14" t="str">
        <f t="shared" si="134"/>
        <v>tidak ada</v>
      </c>
      <c r="G1577" s="14" t="s">
        <v>33</v>
      </c>
      <c r="H1577" s="2" t="s">
        <v>2741</v>
      </c>
    </row>
    <row r="1578" spans="2:8" x14ac:dyDescent="0.25">
      <c r="B1578" s="265">
        <f>B1577+1</f>
        <v>710</v>
      </c>
      <c r="C1578" s="18" t="s">
        <v>3282</v>
      </c>
      <c r="D1578" s="18" t="s">
        <v>3283</v>
      </c>
      <c r="E1578" s="107">
        <f t="shared" si="135"/>
        <v>1467</v>
      </c>
      <c r="F1578" s="14" t="str">
        <f t="shared" si="134"/>
        <v>tidak ada</v>
      </c>
      <c r="G1578" s="14" t="s">
        <v>33</v>
      </c>
      <c r="H1578" s="2" t="s">
        <v>2741</v>
      </c>
    </row>
    <row r="1579" spans="2:8" x14ac:dyDescent="0.25">
      <c r="B1579" s="265">
        <f>B1578+1</f>
        <v>711</v>
      </c>
      <c r="C1579" s="18" t="s">
        <v>3284</v>
      </c>
      <c r="D1579" s="18" t="s">
        <v>3285</v>
      </c>
      <c r="E1579" s="107">
        <f t="shared" si="135"/>
        <v>1468</v>
      </c>
      <c r="F1579" s="14" t="str">
        <f t="shared" si="134"/>
        <v>0tidak ada</v>
      </c>
      <c r="G1579" s="14" t="s">
        <v>33</v>
      </c>
      <c r="H1579" s="2" t="s">
        <v>3286</v>
      </c>
    </row>
    <row r="1580" spans="2:8" x14ac:dyDescent="0.25">
      <c r="B1580" s="265">
        <f>B1579+1</f>
        <v>712</v>
      </c>
      <c r="C1580" s="18" t="s">
        <v>3287</v>
      </c>
      <c r="D1580" s="18" t="s">
        <v>3288</v>
      </c>
      <c r="E1580" s="107">
        <f t="shared" si="135"/>
        <v>1469</v>
      </c>
      <c r="F1580" s="402" t="str">
        <f t="shared" si="134"/>
        <v>tidak ada</v>
      </c>
      <c r="G1580" s="14" t="s">
        <v>3247</v>
      </c>
      <c r="H1580" s="401" t="s">
        <v>2741</v>
      </c>
    </row>
    <row r="1581" spans="2:8" x14ac:dyDescent="0.25">
      <c r="B1581" s="126"/>
      <c r="C1581" s="549" t="s">
        <v>3289</v>
      </c>
      <c r="D1581" s="550"/>
      <c r="E1581" s="139"/>
      <c r="F1581" s="14"/>
      <c r="G1581" s="14"/>
    </row>
    <row r="1582" spans="2:8" x14ac:dyDescent="0.25">
      <c r="B1582" s="502">
        <f>B1580+1</f>
        <v>713</v>
      </c>
      <c r="C1582" s="91" t="s">
        <v>3290</v>
      </c>
      <c r="D1582" s="88" t="s">
        <v>3291</v>
      </c>
      <c r="E1582" s="107">
        <f>E1580+1</f>
        <v>1470</v>
      </c>
      <c r="F1582" s="14">
        <f t="shared" ref="F1582:F1592" si="136">H1582</f>
        <v>0</v>
      </c>
      <c r="G1582" s="14" t="s">
        <v>45</v>
      </c>
      <c r="H1582" s="2">
        <v>0</v>
      </c>
    </row>
    <row r="1583" spans="2:8" x14ac:dyDescent="0.25">
      <c r="B1583" s="503"/>
      <c r="C1583" s="91" t="s">
        <v>3235</v>
      </c>
      <c r="D1583" s="88" t="s">
        <v>3236</v>
      </c>
      <c r="E1583" s="107">
        <f t="shared" ref="E1583:E1592" si="137">E1582+1</f>
        <v>1471</v>
      </c>
      <c r="F1583" s="14">
        <f t="shared" si="136"/>
        <v>0</v>
      </c>
      <c r="G1583" s="14" t="s">
        <v>45</v>
      </c>
      <c r="H1583" s="2">
        <v>0</v>
      </c>
    </row>
    <row r="1584" spans="2:8" x14ac:dyDescent="0.25">
      <c r="B1584" s="503"/>
      <c r="C1584" s="91" t="s">
        <v>3237</v>
      </c>
      <c r="D1584" s="88" t="s">
        <v>3238</v>
      </c>
      <c r="E1584" s="107">
        <f t="shared" si="137"/>
        <v>1472</v>
      </c>
      <c r="F1584" s="14" t="str">
        <f t="shared" si="136"/>
        <v>tidak ada</v>
      </c>
      <c r="G1584" s="14" t="s">
        <v>33</v>
      </c>
      <c r="H1584" s="2" t="s">
        <v>2741</v>
      </c>
    </row>
    <row r="1585" spans="2:8" x14ac:dyDescent="0.25">
      <c r="B1585" s="503"/>
      <c r="C1585" s="91" t="s">
        <v>3239</v>
      </c>
      <c r="D1585" s="88" t="s">
        <v>3292</v>
      </c>
      <c r="E1585" s="107">
        <f t="shared" si="137"/>
        <v>1473</v>
      </c>
      <c r="F1585" s="14" t="str">
        <f t="shared" si="136"/>
        <v>tidak ada</v>
      </c>
      <c r="G1585" s="14" t="s">
        <v>33</v>
      </c>
      <c r="H1585" s="2" t="s">
        <v>2741</v>
      </c>
    </row>
    <row r="1586" spans="2:8" x14ac:dyDescent="0.25">
      <c r="B1586" s="503"/>
      <c r="C1586" s="91" t="s">
        <v>3293</v>
      </c>
      <c r="D1586" s="88" t="s">
        <v>3242</v>
      </c>
      <c r="E1586" s="107">
        <f t="shared" si="137"/>
        <v>1474</v>
      </c>
      <c r="F1586" s="14" t="str">
        <f t="shared" si="136"/>
        <v>tidak ada</v>
      </c>
      <c r="G1586" s="14" t="s">
        <v>33</v>
      </c>
      <c r="H1586" s="2" t="s">
        <v>2741</v>
      </c>
    </row>
    <row r="1587" spans="2:8" x14ac:dyDescent="0.25">
      <c r="B1587" s="503"/>
      <c r="C1587" s="91" t="s">
        <v>3243</v>
      </c>
      <c r="D1587" s="88" t="s">
        <v>3244</v>
      </c>
      <c r="E1587" s="107">
        <f t="shared" si="137"/>
        <v>1475</v>
      </c>
      <c r="F1587" s="14" t="str">
        <f t="shared" si="136"/>
        <v>tidak ada</v>
      </c>
      <c r="G1587" s="14" t="s">
        <v>33</v>
      </c>
      <c r="H1587" s="2" t="s">
        <v>2741</v>
      </c>
    </row>
    <row r="1588" spans="2:8" x14ac:dyDescent="0.25">
      <c r="B1588" s="503"/>
      <c r="C1588" s="18" t="s">
        <v>3245</v>
      </c>
      <c r="D1588" s="18" t="s">
        <v>3246</v>
      </c>
      <c r="E1588" s="107">
        <f t="shared" si="137"/>
        <v>1476</v>
      </c>
      <c r="F1588" s="402">
        <f t="shared" si="136"/>
        <v>0</v>
      </c>
      <c r="G1588" s="14" t="s">
        <v>3247</v>
      </c>
      <c r="H1588" s="401">
        <v>0</v>
      </c>
    </row>
    <row r="1589" spans="2:8" x14ac:dyDescent="0.25">
      <c r="B1589" s="503"/>
      <c r="C1589" s="18" t="s">
        <v>3248</v>
      </c>
      <c r="D1589" s="18" t="s">
        <v>3249</v>
      </c>
      <c r="E1589" s="107">
        <f t="shared" si="137"/>
        <v>1477</v>
      </c>
      <c r="F1589" s="14">
        <f t="shared" si="136"/>
        <v>0</v>
      </c>
      <c r="G1589" s="14" t="s">
        <v>45</v>
      </c>
      <c r="H1589" s="2">
        <v>0</v>
      </c>
    </row>
    <row r="1590" spans="2:8" x14ac:dyDescent="0.25">
      <c r="B1590" s="503"/>
      <c r="C1590" s="18" t="s">
        <v>3250</v>
      </c>
      <c r="D1590" s="18" t="s">
        <v>3251</v>
      </c>
      <c r="E1590" s="107">
        <f t="shared" si="137"/>
        <v>1478</v>
      </c>
      <c r="F1590" s="14" t="str">
        <f t="shared" si="136"/>
        <v>tidak ada</v>
      </c>
      <c r="G1590" s="14" t="s">
        <v>33</v>
      </c>
      <c r="H1590" s="2" t="s">
        <v>2741</v>
      </c>
    </row>
    <row r="1591" spans="2:8" x14ac:dyDescent="0.25">
      <c r="B1591" s="503"/>
      <c r="C1591" s="18" t="s">
        <v>3294</v>
      </c>
      <c r="D1591" s="18" t="s">
        <v>3295</v>
      </c>
      <c r="E1591" s="107">
        <f t="shared" si="137"/>
        <v>1479</v>
      </c>
      <c r="F1591" s="14">
        <f t="shared" si="136"/>
        <v>0</v>
      </c>
      <c r="G1591" s="14" t="s">
        <v>45</v>
      </c>
      <c r="H1591" s="2">
        <v>0</v>
      </c>
    </row>
    <row r="1592" spans="2:8" x14ac:dyDescent="0.25">
      <c r="B1592" s="504"/>
      <c r="C1592" s="18" t="s">
        <v>3296</v>
      </c>
      <c r="D1592" s="18" t="s">
        <v>3297</v>
      </c>
      <c r="E1592" s="107">
        <f t="shared" si="137"/>
        <v>1480</v>
      </c>
      <c r="F1592" s="14" t="str">
        <f t="shared" si="136"/>
        <v>tidak ada</v>
      </c>
      <c r="G1592" s="14" t="s">
        <v>33</v>
      </c>
      <c r="H1592" s="2" t="s">
        <v>2741</v>
      </c>
    </row>
    <row r="1593" spans="2:8" x14ac:dyDescent="0.25">
      <c r="B1593" s="575" t="s">
        <v>3298</v>
      </c>
      <c r="C1593" s="576"/>
      <c r="D1593" s="577"/>
      <c r="E1593" s="105"/>
      <c r="F1593" s="14"/>
      <c r="G1593" s="14"/>
    </row>
    <row r="1594" spans="2:8" x14ac:dyDescent="0.25">
      <c r="B1594" s="543">
        <v>801</v>
      </c>
      <c r="C1594" s="28" t="s">
        <v>3299</v>
      </c>
      <c r="D1594" s="28" t="s">
        <v>3300</v>
      </c>
      <c r="E1594" s="107">
        <f>E1592+1</f>
        <v>1481</v>
      </c>
      <c r="F1594" s="24">
        <f t="shared" ref="F1594:F1609" si="138">H1594</f>
        <v>73400000</v>
      </c>
      <c r="G1594" s="24" t="s">
        <v>1398</v>
      </c>
      <c r="H1594" s="7">
        <v>73400000</v>
      </c>
    </row>
    <row r="1595" spans="2:8" x14ac:dyDescent="0.25">
      <c r="B1595" s="544"/>
      <c r="C1595" s="28" t="s">
        <v>3301</v>
      </c>
      <c r="D1595" s="28" t="s">
        <v>3302</v>
      </c>
      <c r="E1595" s="107">
        <f t="shared" ref="E1595:E1609" si="139">E1594+1</f>
        <v>1482</v>
      </c>
      <c r="F1595" s="24">
        <f t="shared" si="138"/>
        <v>50000000</v>
      </c>
      <c r="G1595" s="24" t="s">
        <v>1398</v>
      </c>
      <c r="H1595" s="7">
        <v>50000000</v>
      </c>
    </row>
    <row r="1596" spans="2:8" x14ac:dyDescent="0.25">
      <c r="B1596" s="544"/>
      <c r="C1596" s="28" t="s">
        <v>3303</v>
      </c>
      <c r="D1596" s="28" t="s">
        <v>3304</v>
      </c>
      <c r="E1596" s="107">
        <f t="shared" si="139"/>
        <v>1483</v>
      </c>
      <c r="F1596" s="24">
        <f t="shared" si="138"/>
        <v>1126335000</v>
      </c>
      <c r="G1596" s="24" t="s">
        <v>1398</v>
      </c>
      <c r="H1596" s="7">
        <v>1126335000</v>
      </c>
    </row>
    <row r="1597" spans="2:8" x14ac:dyDescent="0.25">
      <c r="B1597" s="544"/>
      <c r="C1597" s="28" t="s">
        <v>3305</v>
      </c>
      <c r="D1597" s="28" t="s">
        <v>3306</v>
      </c>
      <c r="E1597" s="107">
        <f t="shared" si="139"/>
        <v>1484</v>
      </c>
      <c r="F1597" s="24">
        <f t="shared" si="138"/>
        <v>1123448000</v>
      </c>
      <c r="G1597" s="24" t="s">
        <v>1398</v>
      </c>
      <c r="H1597" s="7">
        <v>1123448000</v>
      </c>
    </row>
    <row r="1598" spans="2:8" x14ac:dyDescent="0.25">
      <c r="B1598" s="544"/>
      <c r="C1598" s="28" t="s">
        <v>3307</v>
      </c>
      <c r="D1598" s="28" t="s">
        <v>3308</v>
      </c>
      <c r="E1598" s="107">
        <f t="shared" si="139"/>
        <v>1485</v>
      </c>
      <c r="F1598" s="24">
        <f t="shared" si="138"/>
        <v>79556528</v>
      </c>
      <c r="G1598" s="24" t="s">
        <v>1398</v>
      </c>
      <c r="H1598" s="7">
        <v>79556528</v>
      </c>
    </row>
    <row r="1599" spans="2:8" x14ac:dyDescent="0.25">
      <c r="B1599" s="544"/>
      <c r="C1599" s="28" t="s">
        <v>3309</v>
      </c>
      <c r="D1599" s="28" t="s">
        <v>3310</v>
      </c>
      <c r="E1599" s="107">
        <f t="shared" si="139"/>
        <v>1486</v>
      </c>
      <c r="F1599" s="24">
        <f t="shared" si="138"/>
        <v>80960258</v>
      </c>
      <c r="G1599" s="24" t="s">
        <v>1398</v>
      </c>
      <c r="H1599" s="7">
        <v>80960258</v>
      </c>
    </row>
    <row r="1600" spans="2:8" x14ac:dyDescent="0.25">
      <c r="B1600" s="544"/>
      <c r="C1600" s="28" t="s">
        <v>3311</v>
      </c>
      <c r="D1600" s="28" t="s">
        <v>3312</v>
      </c>
      <c r="E1600" s="107">
        <f t="shared" si="139"/>
        <v>1487</v>
      </c>
      <c r="F1600" s="24">
        <f t="shared" si="138"/>
        <v>951236404</v>
      </c>
      <c r="G1600" s="24" t="s">
        <v>1398</v>
      </c>
      <c r="H1600" s="7">
        <v>951236404</v>
      </c>
    </row>
    <row r="1601" spans="2:10" x14ac:dyDescent="0.25">
      <c r="B1601" s="544"/>
      <c r="C1601" s="28" t="s">
        <v>3313</v>
      </c>
      <c r="D1601" s="28" t="s">
        <v>3314</v>
      </c>
      <c r="E1601" s="107">
        <f t="shared" si="139"/>
        <v>1488</v>
      </c>
      <c r="F1601" s="24">
        <f t="shared" si="138"/>
        <v>866057969</v>
      </c>
      <c r="G1601" s="24" t="s">
        <v>1398</v>
      </c>
      <c r="H1601" s="7">
        <v>866057969</v>
      </c>
    </row>
    <row r="1602" spans="2:10" x14ac:dyDescent="0.25">
      <c r="B1602" s="544"/>
      <c r="C1602" s="28" t="s">
        <v>3315</v>
      </c>
      <c r="D1602" s="28" t="s">
        <v>3316</v>
      </c>
      <c r="E1602" s="107">
        <f t="shared" si="139"/>
        <v>1489</v>
      </c>
      <c r="F1602" s="24">
        <f t="shared" si="138"/>
        <v>0</v>
      </c>
      <c r="G1602" s="24" t="s">
        <v>1398</v>
      </c>
      <c r="H1602" s="7">
        <v>0</v>
      </c>
    </row>
    <row r="1603" spans="2:10" x14ac:dyDescent="0.25">
      <c r="B1603" s="544"/>
      <c r="C1603" s="28" t="s">
        <v>3317</v>
      </c>
      <c r="D1603" s="28" t="s">
        <v>3318</v>
      </c>
      <c r="E1603" s="107">
        <f t="shared" si="139"/>
        <v>1490</v>
      </c>
      <c r="F1603" s="24">
        <f t="shared" si="138"/>
        <v>0</v>
      </c>
      <c r="G1603" s="24" t="s">
        <v>1398</v>
      </c>
      <c r="H1603" s="7">
        <v>0</v>
      </c>
    </row>
    <row r="1604" spans="2:10" x14ac:dyDescent="0.25">
      <c r="B1604" s="544"/>
      <c r="C1604" s="28" t="s">
        <v>3319</v>
      </c>
      <c r="D1604" s="28" t="s">
        <v>3320</v>
      </c>
      <c r="E1604" s="107">
        <f t="shared" si="139"/>
        <v>1491</v>
      </c>
      <c r="F1604" s="24">
        <f t="shared" si="138"/>
        <v>0</v>
      </c>
      <c r="G1604" s="24" t="s">
        <v>1398</v>
      </c>
      <c r="H1604" s="7">
        <v>0</v>
      </c>
    </row>
    <row r="1605" spans="2:10" x14ac:dyDescent="0.25">
      <c r="B1605" s="544"/>
      <c r="C1605" s="28" t="s">
        <v>3321</v>
      </c>
      <c r="D1605" s="28" t="s">
        <v>3322</v>
      </c>
      <c r="E1605" s="107">
        <f t="shared" si="139"/>
        <v>1492</v>
      </c>
      <c r="F1605" s="24">
        <f t="shared" si="138"/>
        <v>0</v>
      </c>
      <c r="G1605" s="24" t="s">
        <v>1398</v>
      </c>
      <c r="H1605" s="7">
        <v>0</v>
      </c>
    </row>
    <row r="1606" spans="2:10" x14ac:dyDescent="0.25">
      <c r="B1606" s="544"/>
      <c r="C1606" s="28" t="s">
        <v>3323</v>
      </c>
      <c r="D1606" s="28" t="s">
        <v>3324</v>
      </c>
      <c r="E1606" s="107">
        <f t="shared" si="139"/>
        <v>1493</v>
      </c>
      <c r="F1606" s="24">
        <f t="shared" si="138"/>
        <v>3900000</v>
      </c>
      <c r="G1606" s="24" t="s">
        <v>1398</v>
      </c>
      <c r="H1606" s="7">
        <v>3900000</v>
      </c>
    </row>
    <row r="1607" spans="2:10" x14ac:dyDescent="0.25">
      <c r="B1607" s="545"/>
      <c r="C1607" s="28" t="s">
        <v>3325</v>
      </c>
      <c r="D1607" s="28" t="s">
        <v>3326</v>
      </c>
      <c r="E1607" s="107">
        <f t="shared" si="139"/>
        <v>1494</v>
      </c>
      <c r="F1607" s="24">
        <f t="shared" si="138"/>
        <v>1932914</v>
      </c>
      <c r="G1607" s="24" t="s">
        <v>1398</v>
      </c>
      <c r="H1607" s="7">
        <v>1932914</v>
      </c>
    </row>
    <row r="1608" spans="2:10" x14ac:dyDescent="0.25">
      <c r="B1608" s="193">
        <f>B1594+1</f>
        <v>802</v>
      </c>
      <c r="C1608" s="184" t="s">
        <v>3327</v>
      </c>
      <c r="D1608" s="184" t="s">
        <v>3328</v>
      </c>
      <c r="E1608" s="185">
        <f t="shared" si="139"/>
        <v>1495</v>
      </c>
      <c r="F1608" s="194">
        <f t="shared" si="138"/>
        <v>2122399141</v>
      </c>
      <c r="G1608" s="194" t="s">
        <v>1398</v>
      </c>
      <c r="H1608" s="195">
        <f>H1595+H1597+H1599+H1601+H1603+H1605+H1607</f>
        <v>2122399141</v>
      </c>
      <c r="J1608" s="174" t="s">
        <v>3329</v>
      </c>
    </row>
    <row r="1609" spans="2:10" x14ac:dyDescent="0.25">
      <c r="B1609" s="193">
        <f>B1608+1</f>
        <v>803</v>
      </c>
      <c r="C1609" s="184" t="s">
        <v>3330</v>
      </c>
      <c r="D1609" s="184" t="s">
        <v>3331</v>
      </c>
      <c r="E1609" s="185">
        <f t="shared" si="139"/>
        <v>1496</v>
      </c>
      <c r="F1609" s="194">
        <f t="shared" si="138"/>
        <v>2234427932</v>
      </c>
      <c r="G1609" s="194" t="s">
        <v>1398</v>
      </c>
      <c r="H1609" s="195">
        <f>H1594+H1596+H1598+H1600+H1602+H1604+H1606</f>
        <v>2234427932</v>
      </c>
      <c r="J1609" s="174" t="s">
        <v>3329</v>
      </c>
    </row>
    <row r="1610" spans="2:10" ht="21" customHeight="1" x14ac:dyDescent="0.25">
      <c r="B1610" s="572" t="s">
        <v>3332</v>
      </c>
      <c r="C1610" s="573"/>
      <c r="D1610" s="574"/>
      <c r="E1610" s="19"/>
      <c r="F1610" s="24"/>
      <c r="G1610" s="24"/>
      <c r="H1610" s="144"/>
    </row>
    <row r="1611" spans="2:10" x14ac:dyDescent="0.25">
      <c r="B1611" s="543">
        <v>901</v>
      </c>
      <c r="C1611" s="28" t="s">
        <v>3333</v>
      </c>
      <c r="D1611" s="28" t="s">
        <v>3334</v>
      </c>
      <c r="E1611" s="107">
        <f>E1609+1</f>
        <v>1497</v>
      </c>
      <c r="F1611" s="14">
        <f t="shared" ref="F1611:F1619" si="140">H1611</f>
        <v>1</v>
      </c>
      <c r="G1611" s="14" t="s">
        <v>45</v>
      </c>
      <c r="H1611" s="2">
        <v>1</v>
      </c>
    </row>
    <row r="1612" spans="2:10" x14ac:dyDescent="0.25">
      <c r="B1612" s="544"/>
      <c r="C1612" s="28" t="s">
        <v>3335</v>
      </c>
      <c r="D1612" s="28" t="s">
        <v>3336</v>
      </c>
      <c r="E1612" s="107">
        <f t="shared" ref="E1612:E1619" si="141">1+E1611</f>
        <v>1498</v>
      </c>
      <c r="F1612" s="14">
        <f t="shared" si="140"/>
        <v>1</v>
      </c>
      <c r="G1612" s="14" t="s">
        <v>45</v>
      </c>
      <c r="H1612" s="2">
        <v>1</v>
      </c>
    </row>
    <row r="1613" spans="2:10" x14ac:dyDescent="0.25">
      <c r="B1613" s="544"/>
      <c r="C1613" s="28" t="s">
        <v>3337</v>
      </c>
      <c r="D1613" s="28" t="s">
        <v>3338</v>
      </c>
      <c r="E1613" s="107">
        <f t="shared" si="141"/>
        <v>1499</v>
      </c>
      <c r="F1613" s="14">
        <f t="shared" si="140"/>
        <v>1</v>
      </c>
      <c r="G1613" s="14" t="s">
        <v>45</v>
      </c>
      <c r="H1613" s="2">
        <v>1</v>
      </c>
    </row>
    <row r="1614" spans="2:10" ht="73.5" x14ac:dyDescent="0.25">
      <c r="B1614" s="544"/>
      <c r="C1614" s="28" t="s">
        <v>3339</v>
      </c>
      <c r="D1614" s="28" t="s">
        <v>3340</v>
      </c>
      <c r="E1614" s="107">
        <f t="shared" si="141"/>
        <v>1500</v>
      </c>
      <c r="F1614" s="14" t="str">
        <f t="shared" si="140"/>
        <v>Gema, Bank Sampah, Posyandu, TK/PAUD, Pos Jaga, Rumah Ketahanan Pangan, MCK, Sumur Bor, Gazebo, Bak Penampungan Sampah</v>
      </c>
      <c r="G1614" s="14" t="s">
        <v>33</v>
      </c>
      <c r="H1614" s="2" t="s">
        <v>3341</v>
      </c>
    </row>
    <row r="1615" spans="2:10" x14ac:dyDescent="0.25">
      <c r="B1615" s="544"/>
      <c r="C1615" s="28" t="s">
        <v>3342</v>
      </c>
      <c r="D1615" s="28" t="s">
        <v>3343</v>
      </c>
      <c r="E1615" s="107">
        <f t="shared" si="141"/>
        <v>1501</v>
      </c>
      <c r="F1615" s="14">
        <f t="shared" si="140"/>
        <v>0</v>
      </c>
      <c r="G1615" s="14" t="s">
        <v>45</v>
      </c>
      <c r="H1615" s="2">
        <v>0</v>
      </c>
    </row>
    <row r="1616" spans="2:10" x14ac:dyDescent="0.25">
      <c r="B1616" s="544"/>
      <c r="C1616" s="28" t="s">
        <v>3344</v>
      </c>
      <c r="D1616" s="28" t="s">
        <v>3345</v>
      </c>
      <c r="E1616" s="107">
        <f t="shared" si="141"/>
        <v>1502</v>
      </c>
      <c r="F1616" s="14">
        <f t="shared" si="140"/>
        <v>0</v>
      </c>
      <c r="G1616" s="14" t="s">
        <v>45</v>
      </c>
      <c r="H1616" s="2">
        <v>0</v>
      </c>
    </row>
    <row r="1617" spans="2:8" x14ac:dyDescent="0.25">
      <c r="B1617" s="544"/>
      <c r="C1617" s="28" t="s">
        <v>3346</v>
      </c>
      <c r="D1617" s="28" t="s">
        <v>3347</v>
      </c>
      <c r="E1617" s="107">
        <f t="shared" si="141"/>
        <v>1503</v>
      </c>
      <c r="F1617" s="14">
        <f t="shared" si="140"/>
        <v>0</v>
      </c>
      <c r="G1617" s="14" t="s">
        <v>45</v>
      </c>
      <c r="H1617" s="2">
        <v>0</v>
      </c>
    </row>
    <row r="1618" spans="2:8" x14ac:dyDescent="0.25">
      <c r="B1618" s="544"/>
      <c r="C1618" s="28" t="s">
        <v>3348</v>
      </c>
      <c r="D1618" s="28" t="s">
        <v>3349</v>
      </c>
      <c r="E1618" s="107">
        <f t="shared" si="141"/>
        <v>1504</v>
      </c>
      <c r="F1618" s="14" t="str">
        <f t="shared" si="140"/>
        <v>tidak ada</v>
      </c>
      <c r="G1618" s="14" t="s">
        <v>33</v>
      </c>
      <c r="H1618" s="2" t="s">
        <v>2741</v>
      </c>
    </row>
    <row r="1619" spans="2:8" ht="73.5" x14ac:dyDescent="0.25">
      <c r="B1619" s="545"/>
      <c r="C1619" s="28" t="s">
        <v>3350</v>
      </c>
      <c r="D1619" s="28" t="s">
        <v>3351</v>
      </c>
      <c r="E1619" s="107">
        <f t="shared" si="141"/>
        <v>1505</v>
      </c>
      <c r="F1619" s="14" t="str">
        <f t="shared" si="140"/>
        <v>Kendaraan, Peralatan dan Mesin, Jaringan Pipa, Jaringan Listrik, Jalur Evakuasi, Instalasi Air dan Listrik, Peralatan Penunjang Kerja, Tanah</v>
      </c>
      <c r="G1619" s="14" t="s">
        <v>33</v>
      </c>
      <c r="H1619" s="2" t="s">
        <v>3352</v>
      </c>
    </row>
    <row r="1620" spans="2:8" x14ac:dyDescent="0.25">
      <c r="B1620" s="263"/>
      <c r="C1620" s="56" t="s">
        <v>3353</v>
      </c>
      <c r="D1620" s="57"/>
      <c r="E1620" s="105"/>
      <c r="F1620" s="14"/>
      <c r="G1620" s="14"/>
    </row>
    <row r="1621" spans="2:8" x14ac:dyDescent="0.25">
      <c r="B1621" s="543">
        <f>B1611+1</f>
        <v>902</v>
      </c>
      <c r="C1621" s="28" t="s">
        <v>3354</v>
      </c>
      <c r="D1621" s="28" t="s">
        <v>3355</v>
      </c>
      <c r="E1621" s="107">
        <f>E1619+1</f>
        <v>1506</v>
      </c>
      <c r="F1621" s="19">
        <f>H1621</f>
        <v>1</v>
      </c>
      <c r="G1621" s="14" t="s">
        <v>45</v>
      </c>
      <c r="H1621" s="2">
        <v>1</v>
      </c>
    </row>
    <row r="1622" spans="2:8" x14ac:dyDescent="0.25">
      <c r="B1622" s="544"/>
      <c r="C1622" s="28" t="s">
        <v>3356</v>
      </c>
      <c r="D1622" s="28" t="s">
        <v>3357</v>
      </c>
      <c r="E1622" s="107">
        <f>E1621+1</f>
        <v>1507</v>
      </c>
      <c r="F1622" s="19">
        <f>H1622</f>
        <v>1</v>
      </c>
      <c r="G1622" s="14" t="s">
        <v>45</v>
      </c>
      <c r="H1622" s="2">
        <v>1</v>
      </c>
    </row>
    <row r="1623" spans="2:8" x14ac:dyDescent="0.25">
      <c r="B1623" s="544"/>
      <c r="C1623" s="28" t="s">
        <v>3358</v>
      </c>
      <c r="D1623" s="28" t="s">
        <v>3359</v>
      </c>
      <c r="E1623" s="107">
        <f>E1622+1</f>
        <v>1508</v>
      </c>
      <c r="F1623" s="19">
        <f>H1623</f>
        <v>1</v>
      </c>
      <c r="G1623" s="14" t="s">
        <v>45</v>
      </c>
      <c r="H1623" s="2">
        <v>1</v>
      </c>
    </row>
    <row r="1624" spans="2:8" x14ac:dyDescent="0.25">
      <c r="B1624" s="545"/>
      <c r="C1624" s="28" t="s">
        <v>3360</v>
      </c>
      <c r="D1624" s="28" t="s">
        <v>3361</v>
      </c>
      <c r="E1624" s="107">
        <f>E1623+1</f>
        <v>1509</v>
      </c>
      <c r="F1624" s="19" t="str">
        <f>H1624</f>
        <v>Media Sosial</v>
      </c>
      <c r="G1624" s="14" t="s">
        <v>33</v>
      </c>
      <c r="H1624" s="2" t="s">
        <v>3362</v>
      </c>
    </row>
    <row r="1625" spans="2:8" x14ac:dyDescent="0.25">
      <c r="B1625" s="572" t="s">
        <v>3363</v>
      </c>
      <c r="C1625" s="573"/>
      <c r="D1625" s="574"/>
      <c r="E1625" s="105"/>
      <c r="F1625" s="19"/>
      <c r="G1625" s="14"/>
    </row>
    <row r="1626" spans="2:8" x14ac:dyDescent="0.25">
      <c r="B1626" s="127"/>
      <c r="C1626" s="56" t="s">
        <v>3364</v>
      </c>
      <c r="D1626" s="57"/>
      <c r="E1626" s="105"/>
      <c r="F1626" s="19"/>
      <c r="G1626" s="14"/>
    </row>
    <row r="1627" spans="2:8" x14ac:dyDescent="0.25">
      <c r="B1627" s="543">
        <v>1001</v>
      </c>
      <c r="C1627" s="28" t="s">
        <v>3365</v>
      </c>
      <c r="D1627" s="28" t="s">
        <v>3366</v>
      </c>
      <c r="E1627" s="107">
        <f>E1624+1</f>
        <v>1510</v>
      </c>
      <c r="F1627" s="24">
        <f t="shared" ref="F1627:F1638" si="142">H1627</f>
        <v>951392824</v>
      </c>
      <c r="G1627" s="24" t="s">
        <v>1398</v>
      </c>
      <c r="H1627" s="7">
        <v>951392824</v>
      </c>
    </row>
    <row r="1628" spans="2:8" x14ac:dyDescent="0.25">
      <c r="B1628" s="544"/>
      <c r="C1628" s="28" t="s">
        <v>3367</v>
      </c>
      <c r="D1628" s="28" t="s">
        <v>3368</v>
      </c>
      <c r="E1628" s="107">
        <f t="shared" ref="E1628:E1638" si="143">E1627+1</f>
        <v>1511</v>
      </c>
      <c r="F1628" s="24">
        <f t="shared" si="142"/>
        <v>745614975</v>
      </c>
      <c r="G1628" s="24" t="s">
        <v>1398</v>
      </c>
      <c r="H1628" s="7">
        <v>745614975</v>
      </c>
    </row>
    <row r="1629" spans="2:8" x14ac:dyDescent="0.25">
      <c r="B1629" s="544"/>
      <c r="C1629" s="28" t="s">
        <v>3369</v>
      </c>
      <c r="D1629" s="28" t="s">
        <v>3370</v>
      </c>
      <c r="E1629" s="107">
        <f t="shared" si="143"/>
        <v>1512</v>
      </c>
      <c r="F1629" s="24">
        <f t="shared" si="142"/>
        <v>42992000</v>
      </c>
      <c r="G1629" s="24" t="s">
        <v>1398</v>
      </c>
      <c r="H1629" s="7">
        <v>42992000</v>
      </c>
    </row>
    <row r="1630" spans="2:8" x14ac:dyDescent="0.25">
      <c r="B1630" s="544"/>
      <c r="C1630" s="28" t="s">
        <v>3371</v>
      </c>
      <c r="D1630" s="28" t="s">
        <v>3372</v>
      </c>
      <c r="E1630" s="107">
        <f t="shared" si="143"/>
        <v>1513</v>
      </c>
      <c r="F1630" s="24">
        <f t="shared" si="142"/>
        <v>20441000</v>
      </c>
      <c r="G1630" s="24" t="s">
        <v>1398</v>
      </c>
      <c r="H1630" s="7">
        <v>20441000</v>
      </c>
    </row>
    <row r="1631" spans="2:8" x14ac:dyDescent="0.25">
      <c r="B1631" s="544"/>
      <c r="C1631" s="28" t="s">
        <v>3373</v>
      </c>
      <c r="D1631" s="28" t="s">
        <v>3374</v>
      </c>
      <c r="E1631" s="107">
        <f t="shared" si="143"/>
        <v>1514</v>
      </c>
      <c r="F1631" s="24">
        <f t="shared" si="142"/>
        <v>126536878</v>
      </c>
      <c r="G1631" s="24" t="s">
        <v>1398</v>
      </c>
      <c r="H1631" s="7">
        <v>126536878</v>
      </c>
    </row>
    <row r="1632" spans="2:8" x14ac:dyDescent="0.25">
      <c r="B1632" s="545"/>
      <c r="C1632" s="28" t="s">
        <v>3375</v>
      </c>
      <c r="D1632" s="28" t="s">
        <v>3376</v>
      </c>
      <c r="E1632" s="107">
        <f t="shared" si="143"/>
        <v>1515</v>
      </c>
      <c r="F1632" s="24">
        <f t="shared" si="142"/>
        <v>15807971</v>
      </c>
      <c r="G1632" s="24" t="s">
        <v>1398</v>
      </c>
      <c r="H1632" s="7">
        <v>15807971</v>
      </c>
    </row>
    <row r="1633" spans="2:8" x14ac:dyDescent="0.25">
      <c r="B1633" s="543">
        <f>B1627+1</f>
        <v>1002</v>
      </c>
      <c r="C1633" s="28" t="s">
        <v>3377</v>
      </c>
      <c r="D1633" s="28" t="s">
        <v>3378</v>
      </c>
      <c r="E1633" s="107">
        <f t="shared" si="143"/>
        <v>1516</v>
      </c>
      <c r="F1633" s="24">
        <f t="shared" si="142"/>
        <v>907889827</v>
      </c>
      <c r="G1633" s="24" t="s">
        <v>1398</v>
      </c>
      <c r="H1633" s="7">
        <v>907889827</v>
      </c>
    </row>
    <row r="1634" spans="2:8" x14ac:dyDescent="0.25">
      <c r="B1634" s="544"/>
      <c r="C1634" s="28" t="s">
        <v>3379</v>
      </c>
      <c r="D1634" s="28" t="s">
        <v>3380</v>
      </c>
      <c r="E1634" s="107">
        <f t="shared" si="143"/>
        <v>1517</v>
      </c>
      <c r="F1634" s="24">
        <f t="shared" si="142"/>
        <v>789008264</v>
      </c>
      <c r="G1634" s="24" t="s">
        <v>1398</v>
      </c>
      <c r="H1634" s="7">
        <v>789008264</v>
      </c>
    </row>
    <row r="1635" spans="2:8" x14ac:dyDescent="0.25">
      <c r="B1635" s="544"/>
      <c r="C1635" s="28" t="s">
        <v>3381</v>
      </c>
      <c r="D1635" s="28" t="s">
        <v>3382</v>
      </c>
      <c r="E1635" s="107">
        <f t="shared" si="143"/>
        <v>1518</v>
      </c>
      <c r="F1635" s="24">
        <f t="shared" si="142"/>
        <v>10933327</v>
      </c>
      <c r="G1635" s="24" t="s">
        <v>1398</v>
      </c>
      <c r="H1635" s="7">
        <v>10933327</v>
      </c>
    </row>
    <row r="1636" spans="2:8" x14ac:dyDescent="0.25">
      <c r="B1636" s="544"/>
      <c r="C1636" s="28" t="s">
        <v>3383</v>
      </c>
      <c r="D1636" s="28" t="s">
        <v>3384</v>
      </c>
      <c r="E1636" s="107">
        <f t="shared" si="143"/>
        <v>1519</v>
      </c>
      <c r="F1636" s="24">
        <f t="shared" si="142"/>
        <v>18219000</v>
      </c>
      <c r="G1636" s="24" t="s">
        <v>1398</v>
      </c>
      <c r="H1636" s="7">
        <v>18219000</v>
      </c>
    </row>
    <row r="1637" spans="2:8" x14ac:dyDescent="0.25">
      <c r="B1637" s="544"/>
      <c r="C1637" s="28" t="s">
        <v>3385</v>
      </c>
      <c r="D1637" s="28" t="s">
        <v>3386</v>
      </c>
      <c r="E1637" s="107">
        <f t="shared" si="143"/>
        <v>1520</v>
      </c>
      <c r="F1637" s="24">
        <f t="shared" si="142"/>
        <v>68225000</v>
      </c>
      <c r="G1637" s="24" t="s">
        <v>1398</v>
      </c>
      <c r="H1637" s="7">
        <v>68225000</v>
      </c>
    </row>
    <row r="1638" spans="2:8" x14ac:dyDescent="0.25">
      <c r="B1638" s="545"/>
      <c r="C1638" s="28" t="s">
        <v>3387</v>
      </c>
      <c r="D1638" s="28" t="s">
        <v>3388</v>
      </c>
      <c r="E1638" s="107">
        <f t="shared" si="143"/>
        <v>1521</v>
      </c>
      <c r="F1638" s="24">
        <f t="shared" si="142"/>
        <v>21504236</v>
      </c>
      <c r="G1638" s="24" t="s">
        <v>1398</v>
      </c>
      <c r="H1638" s="7">
        <v>21504236</v>
      </c>
    </row>
    <row r="1639" spans="2:8" x14ac:dyDescent="0.25">
      <c r="B1639" s="127"/>
      <c r="C1639" s="62" t="s">
        <v>3389</v>
      </c>
      <c r="D1639" s="63"/>
      <c r="E1639" s="105"/>
      <c r="F1639" s="19"/>
      <c r="G1639" s="14"/>
    </row>
    <row r="1640" spans="2:8" x14ac:dyDescent="0.25">
      <c r="B1640" s="543">
        <f>B1633+1</f>
        <v>1003</v>
      </c>
      <c r="C1640" s="28" t="s">
        <v>3390</v>
      </c>
      <c r="D1640" s="28" t="s">
        <v>3391</v>
      </c>
      <c r="E1640" s="107">
        <f>E1638+1</f>
        <v>1522</v>
      </c>
      <c r="F1640" s="24">
        <f t="shared" ref="F1640:F1657" si="144">H1640</f>
        <v>554866660</v>
      </c>
      <c r="G1640" s="24" t="s">
        <v>1398</v>
      </c>
      <c r="H1640" s="7">
        <v>554866660</v>
      </c>
    </row>
    <row r="1641" spans="2:8" x14ac:dyDescent="0.25">
      <c r="B1641" s="544"/>
      <c r="C1641" s="28" t="s">
        <v>3392</v>
      </c>
      <c r="D1641" s="28" t="s">
        <v>3393</v>
      </c>
      <c r="E1641" s="107">
        <f t="shared" ref="E1641:E1657" si="145">E1640+1</f>
        <v>1523</v>
      </c>
      <c r="F1641" s="24">
        <f t="shared" si="144"/>
        <v>167800000</v>
      </c>
      <c r="G1641" s="24" t="s">
        <v>1398</v>
      </c>
      <c r="H1641" s="7">
        <v>167800000</v>
      </c>
    </row>
    <row r="1642" spans="2:8" x14ac:dyDescent="0.25">
      <c r="B1642" s="544"/>
      <c r="C1642" s="28" t="s">
        <v>3394</v>
      </c>
      <c r="D1642" s="28" t="s">
        <v>3395</v>
      </c>
      <c r="E1642" s="107">
        <f t="shared" si="145"/>
        <v>1524</v>
      </c>
      <c r="F1642" s="24">
        <f t="shared" si="144"/>
        <v>137666000</v>
      </c>
      <c r="G1642" s="24" t="s">
        <v>1398</v>
      </c>
      <c r="H1642" s="7">
        <v>137666000</v>
      </c>
    </row>
    <row r="1643" spans="2:8" x14ac:dyDescent="0.25">
      <c r="B1643" s="544"/>
      <c r="C1643" s="28" t="s">
        <v>3396</v>
      </c>
      <c r="D1643" s="28" t="s">
        <v>3397</v>
      </c>
      <c r="E1643" s="107">
        <f t="shared" si="145"/>
        <v>1525</v>
      </c>
      <c r="F1643" s="24">
        <f t="shared" si="144"/>
        <v>0</v>
      </c>
      <c r="G1643" s="24" t="s">
        <v>1398</v>
      </c>
      <c r="H1643" s="7">
        <v>0</v>
      </c>
    </row>
    <row r="1644" spans="2:8" x14ac:dyDescent="0.25">
      <c r="B1644" s="544"/>
      <c r="C1644" s="28" t="s">
        <v>3398</v>
      </c>
      <c r="D1644" s="28" t="s">
        <v>3399</v>
      </c>
      <c r="E1644" s="107">
        <f t="shared" si="145"/>
        <v>1526</v>
      </c>
      <c r="F1644" s="24">
        <f t="shared" si="144"/>
        <v>114293000</v>
      </c>
      <c r="G1644" s="24" t="s">
        <v>1398</v>
      </c>
      <c r="H1644" s="7">
        <v>114293000</v>
      </c>
    </row>
    <row r="1645" spans="2:8" x14ac:dyDescent="0.25">
      <c r="B1645" s="544"/>
      <c r="C1645" s="28" t="s">
        <v>3400</v>
      </c>
      <c r="D1645" s="28" t="s">
        <v>3401</v>
      </c>
      <c r="E1645" s="107">
        <f t="shared" si="145"/>
        <v>1527</v>
      </c>
      <c r="F1645" s="24">
        <f t="shared" si="144"/>
        <v>0</v>
      </c>
      <c r="G1645" s="24" t="s">
        <v>1398</v>
      </c>
      <c r="H1645" s="7">
        <v>0</v>
      </c>
    </row>
    <row r="1646" spans="2:8" x14ac:dyDescent="0.25">
      <c r="B1646" s="544"/>
      <c r="C1646" s="28" t="s">
        <v>3402</v>
      </c>
      <c r="D1646" s="28" t="s">
        <v>3403</v>
      </c>
      <c r="E1646" s="107">
        <f t="shared" si="145"/>
        <v>1528</v>
      </c>
      <c r="F1646" s="24">
        <f t="shared" si="144"/>
        <v>14855000</v>
      </c>
      <c r="G1646" s="24" t="s">
        <v>1398</v>
      </c>
      <c r="H1646" s="7">
        <v>14855000</v>
      </c>
    </row>
    <row r="1647" spans="2:8" x14ac:dyDescent="0.25">
      <c r="B1647" s="544"/>
      <c r="C1647" s="28" t="s">
        <v>3404</v>
      </c>
      <c r="D1647" s="28" t="s">
        <v>3405</v>
      </c>
      <c r="E1647" s="107">
        <f t="shared" si="145"/>
        <v>1529</v>
      </c>
      <c r="F1647" s="24">
        <f t="shared" si="144"/>
        <v>89438160</v>
      </c>
      <c r="G1647" s="24" t="s">
        <v>1398</v>
      </c>
      <c r="H1647" s="7">
        <v>89438160</v>
      </c>
    </row>
    <row r="1648" spans="2:8" x14ac:dyDescent="0.25">
      <c r="B1648" s="545"/>
      <c r="C1648" s="28" t="s">
        <v>3406</v>
      </c>
      <c r="D1648" s="28" t="s">
        <v>3407</v>
      </c>
      <c r="E1648" s="107">
        <f t="shared" si="145"/>
        <v>1530</v>
      </c>
      <c r="F1648" s="24">
        <f t="shared" si="144"/>
        <v>30814500</v>
      </c>
      <c r="G1648" s="24" t="s">
        <v>1398</v>
      </c>
      <c r="H1648" s="7">
        <v>30814500</v>
      </c>
    </row>
    <row r="1649" spans="2:8" x14ac:dyDescent="0.25">
      <c r="B1649" s="543">
        <f>B1640+1</f>
        <v>1004</v>
      </c>
      <c r="C1649" s="28" t="s">
        <v>3408</v>
      </c>
      <c r="D1649" s="28" t="s">
        <v>3409</v>
      </c>
      <c r="E1649" s="107">
        <f t="shared" si="145"/>
        <v>1531</v>
      </c>
      <c r="F1649" s="24">
        <f t="shared" si="144"/>
        <v>585190250</v>
      </c>
      <c r="G1649" s="24" t="s">
        <v>1398</v>
      </c>
      <c r="H1649" s="7">
        <v>585190250</v>
      </c>
    </row>
    <row r="1650" spans="2:8" x14ac:dyDescent="0.25">
      <c r="B1650" s="544"/>
      <c r="C1650" s="28" t="s">
        <v>3410</v>
      </c>
      <c r="D1650" s="28" t="s">
        <v>3411</v>
      </c>
      <c r="E1650" s="107">
        <f t="shared" si="145"/>
        <v>1532</v>
      </c>
      <c r="F1650" s="24">
        <f t="shared" si="144"/>
        <v>184630000</v>
      </c>
      <c r="G1650" s="24" t="s">
        <v>1398</v>
      </c>
      <c r="H1650" s="7">
        <v>184630000</v>
      </c>
    </row>
    <row r="1651" spans="2:8" x14ac:dyDescent="0.25">
      <c r="B1651" s="544"/>
      <c r="C1651" s="28" t="s">
        <v>3412</v>
      </c>
      <c r="D1651" s="28" t="s">
        <v>3413</v>
      </c>
      <c r="E1651" s="107">
        <f t="shared" si="145"/>
        <v>1533</v>
      </c>
      <c r="F1651" s="24">
        <f t="shared" si="144"/>
        <v>143755000</v>
      </c>
      <c r="G1651" s="24" t="s">
        <v>1398</v>
      </c>
      <c r="H1651" s="7">
        <v>143755000</v>
      </c>
    </row>
    <row r="1652" spans="2:8" x14ac:dyDescent="0.25">
      <c r="B1652" s="544"/>
      <c r="C1652" s="28" t="s">
        <v>3414</v>
      </c>
      <c r="D1652" s="28" t="s">
        <v>3415</v>
      </c>
      <c r="E1652" s="107">
        <f t="shared" si="145"/>
        <v>1534</v>
      </c>
      <c r="F1652" s="24">
        <f t="shared" si="144"/>
        <v>166540000</v>
      </c>
      <c r="G1652" s="24" t="s">
        <v>1398</v>
      </c>
      <c r="H1652" s="7">
        <v>166540000</v>
      </c>
    </row>
    <row r="1653" spans="2:8" x14ac:dyDescent="0.25">
      <c r="B1653" s="544"/>
      <c r="C1653" s="28" t="s">
        <v>3416</v>
      </c>
      <c r="D1653" s="28" t="s">
        <v>3417</v>
      </c>
      <c r="E1653" s="107">
        <f t="shared" si="145"/>
        <v>1535</v>
      </c>
      <c r="F1653" s="24">
        <f t="shared" si="144"/>
        <v>58565250</v>
      </c>
      <c r="G1653" s="24" t="s">
        <v>1398</v>
      </c>
      <c r="H1653" s="7">
        <v>58565250</v>
      </c>
    </row>
    <row r="1654" spans="2:8" x14ac:dyDescent="0.25">
      <c r="B1654" s="544"/>
      <c r="C1654" s="28" t="s">
        <v>3418</v>
      </c>
      <c r="D1654" s="28" t="s">
        <v>3419</v>
      </c>
      <c r="E1654" s="107">
        <f t="shared" si="145"/>
        <v>1536</v>
      </c>
      <c r="F1654" s="24">
        <f t="shared" si="144"/>
        <v>0</v>
      </c>
      <c r="G1654" s="24" t="s">
        <v>1398</v>
      </c>
      <c r="H1654" s="7">
        <v>0</v>
      </c>
    </row>
    <row r="1655" spans="2:8" x14ac:dyDescent="0.25">
      <c r="B1655" s="544"/>
      <c r="C1655" s="28" t="s">
        <v>3420</v>
      </c>
      <c r="D1655" s="28" t="s">
        <v>3421</v>
      </c>
      <c r="E1655" s="107">
        <f t="shared" si="145"/>
        <v>1537</v>
      </c>
      <c r="F1655" s="24">
        <f t="shared" si="144"/>
        <v>8700000</v>
      </c>
      <c r="G1655" s="24" t="s">
        <v>1398</v>
      </c>
      <c r="H1655" s="7">
        <v>8700000</v>
      </c>
    </row>
    <row r="1656" spans="2:8" x14ac:dyDescent="0.25">
      <c r="B1656" s="544"/>
      <c r="C1656" s="28" t="s">
        <v>3422</v>
      </c>
      <c r="D1656" s="28" t="s">
        <v>3423</v>
      </c>
      <c r="E1656" s="107">
        <f t="shared" si="145"/>
        <v>1538</v>
      </c>
      <c r="F1656" s="24">
        <f t="shared" si="144"/>
        <v>0</v>
      </c>
      <c r="G1656" s="24" t="s">
        <v>1398</v>
      </c>
      <c r="H1656" s="7">
        <v>0</v>
      </c>
    </row>
    <row r="1657" spans="2:8" x14ac:dyDescent="0.25">
      <c r="B1657" s="544"/>
      <c r="C1657" s="28" t="s">
        <v>3424</v>
      </c>
      <c r="D1657" s="28" t="s">
        <v>3425</v>
      </c>
      <c r="E1657" s="107">
        <f t="shared" si="145"/>
        <v>1539</v>
      </c>
      <c r="F1657" s="24">
        <f t="shared" si="144"/>
        <v>23000000</v>
      </c>
      <c r="G1657" s="24" t="s">
        <v>1398</v>
      </c>
      <c r="H1657" s="7">
        <v>23000000</v>
      </c>
    </row>
    <row r="1658" spans="2:8" x14ac:dyDescent="0.25">
      <c r="B1658" s="127"/>
      <c r="C1658" s="56" t="s">
        <v>3426</v>
      </c>
      <c r="D1658" s="57"/>
      <c r="E1658" s="105"/>
      <c r="F1658" s="19"/>
      <c r="G1658" s="14"/>
    </row>
    <row r="1659" spans="2:8" x14ac:dyDescent="0.25">
      <c r="B1659" s="543">
        <f>B1649+1</f>
        <v>1005</v>
      </c>
      <c r="C1659" s="28" t="s">
        <v>3427</v>
      </c>
      <c r="D1659" s="28" t="s">
        <v>3428</v>
      </c>
      <c r="E1659" s="107">
        <f>E1657+1</f>
        <v>1540</v>
      </c>
      <c r="F1659" s="24">
        <f t="shared" ref="F1659:F1668" si="146">H1659</f>
        <v>138174618</v>
      </c>
      <c r="G1659" s="24" t="s">
        <v>1398</v>
      </c>
      <c r="H1659" s="7">
        <v>138174618</v>
      </c>
    </row>
    <row r="1660" spans="2:8" x14ac:dyDescent="0.25">
      <c r="B1660" s="544"/>
      <c r="C1660" s="28" t="s">
        <v>3429</v>
      </c>
      <c r="D1660" s="28" t="s">
        <v>3430</v>
      </c>
      <c r="E1660" s="107">
        <f t="shared" ref="E1660:E1668" si="147">E1659+1</f>
        <v>1541</v>
      </c>
      <c r="F1660" s="24">
        <f t="shared" si="146"/>
        <v>0</v>
      </c>
      <c r="G1660" s="24" t="s">
        <v>1398</v>
      </c>
      <c r="H1660" s="7">
        <v>0</v>
      </c>
    </row>
    <row r="1661" spans="2:8" x14ac:dyDescent="0.25">
      <c r="B1661" s="544"/>
      <c r="C1661" s="28" t="s">
        <v>3431</v>
      </c>
      <c r="D1661" s="28" t="s">
        <v>3432</v>
      </c>
      <c r="E1661" s="107">
        <f t="shared" si="147"/>
        <v>1542</v>
      </c>
      <c r="F1661" s="24">
        <f t="shared" si="146"/>
        <v>110223986</v>
      </c>
      <c r="G1661" s="24" t="s">
        <v>1398</v>
      </c>
      <c r="H1661" s="7">
        <v>110223986</v>
      </c>
    </row>
    <row r="1662" spans="2:8" x14ac:dyDescent="0.25">
      <c r="B1662" s="544"/>
      <c r="C1662" s="28" t="s">
        <v>3433</v>
      </c>
      <c r="D1662" s="28" t="s">
        <v>3434</v>
      </c>
      <c r="E1662" s="107">
        <f t="shared" si="147"/>
        <v>1543</v>
      </c>
      <c r="F1662" s="24">
        <f t="shared" si="146"/>
        <v>10300000</v>
      </c>
      <c r="G1662" s="24" t="s">
        <v>1398</v>
      </c>
      <c r="H1662" s="7">
        <v>10300000</v>
      </c>
    </row>
    <row r="1663" spans="2:8" x14ac:dyDescent="0.25">
      <c r="B1663" s="545"/>
      <c r="C1663" s="28" t="s">
        <v>3435</v>
      </c>
      <c r="D1663" s="28" t="s">
        <v>3436</v>
      </c>
      <c r="E1663" s="107">
        <f t="shared" si="147"/>
        <v>1544</v>
      </c>
      <c r="F1663" s="24">
        <f t="shared" si="146"/>
        <v>17650632</v>
      </c>
      <c r="G1663" s="24" t="s">
        <v>1398</v>
      </c>
      <c r="H1663" s="7">
        <v>17650632</v>
      </c>
    </row>
    <row r="1664" spans="2:8" x14ac:dyDescent="0.25">
      <c r="B1664" s="543">
        <f>B1659+1</f>
        <v>1006</v>
      </c>
      <c r="C1664" s="28" t="s">
        <v>3437</v>
      </c>
      <c r="D1664" s="28" t="s">
        <v>3438</v>
      </c>
      <c r="E1664" s="107">
        <f t="shared" si="147"/>
        <v>1545</v>
      </c>
      <c r="F1664" s="24">
        <f t="shared" si="146"/>
        <v>198230382</v>
      </c>
      <c r="G1664" s="24" t="s">
        <v>1398</v>
      </c>
      <c r="H1664" s="7">
        <v>198230382</v>
      </c>
    </row>
    <row r="1665" spans="2:8" x14ac:dyDescent="0.25">
      <c r="B1665" s="544"/>
      <c r="C1665" s="29" t="s">
        <v>3439</v>
      </c>
      <c r="D1665" s="28" t="s">
        <v>3440</v>
      </c>
      <c r="E1665" s="107">
        <f t="shared" si="147"/>
        <v>1546</v>
      </c>
      <c r="F1665" s="24">
        <f t="shared" si="146"/>
        <v>0</v>
      </c>
      <c r="G1665" s="24" t="s">
        <v>1398</v>
      </c>
      <c r="H1665" s="7">
        <v>0</v>
      </c>
    </row>
    <row r="1666" spans="2:8" x14ac:dyDescent="0.25">
      <c r="B1666" s="544"/>
      <c r="C1666" s="29" t="s">
        <v>3441</v>
      </c>
      <c r="D1666" s="28" t="s">
        <v>3442</v>
      </c>
      <c r="E1666" s="107">
        <f t="shared" si="147"/>
        <v>1547</v>
      </c>
      <c r="F1666" s="24">
        <f t="shared" si="146"/>
        <v>149552537</v>
      </c>
      <c r="G1666" s="24" t="s">
        <v>1398</v>
      </c>
      <c r="H1666" s="7">
        <v>149552537</v>
      </c>
    </row>
    <row r="1667" spans="2:8" x14ac:dyDescent="0.25">
      <c r="B1667" s="544"/>
      <c r="C1667" s="29" t="s">
        <v>3443</v>
      </c>
      <c r="D1667" s="28" t="s">
        <v>3444</v>
      </c>
      <c r="E1667" s="107">
        <f t="shared" si="147"/>
        <v>1548</v>
      </c>
      <c r="F1667" s="24">
        <f t="shared" si="146"/>
        <v>8600000</v>
      </c>
      <c r="G1667" s="24" t="s">
        <v>1398</v>
      </c>
      <c r="H1667" s="7">
        <v>8600000</v>
      </c>
    </row>
    <row r="1668" spans="2:8" x14ac:dyDescent="0.25">
      <c r="B1668" s="545"/>
      <c r="C1668" s="29" t="s">
        <v>3445</v>
      </c>
      <c r="D1668" s="28" t="s">
        <v>3446</v>
      </c>
      <c r="E1668" s="107">
        <f t="shared" si="147"/>
        <v>1549</v>
      </c>
      <c r="F1668" s="24">
        <f t="shared" si="146"/>
        <v>40077845</v>
      </c>
      <c r="G1668" s="24" t="s">
        <v>1398</v>
      </c>
      <c r="H1668" s="7">
        <v>40077845</v>
      </c>
    </row>
    <row r="1669" spans="2:8" x14ac:dyDescent="0.25">
      <c r="B1669" s="127"/>
      <c r="C1669" s="56" t="s">
        <v>3447</v>
      </c>
      <c r="D1669" s="57"/>
      <c r="E1669" s="105"/>
      <c r="F1669" s="19"/>
      <c r="G1669" s="14"/>
      <c r="H1669" s="140"/>
    </row>
    <row r="1670" spans="2:8" x14ac:dyDescent="0.25">
      <c r="B1670" s="543">
        <f>B1664+1</f>
        <v>1007</v>
      </c>
      <c r="C1670" s="29" t="s">
        <v>3448</v>
      </c>
      <c r="D1670" s="28" t="s">
        <v>3449</v>
      </c>
      <c r="E1670" s="107">
        <f>E1668+1</f>
        <v>1550</v>
      </c>
      <c r="F1670" s="24">
        <f t="shared" ref="F1670:F1685" si="148">H1670</f>
        <v>268020500</v>
      </c>
      <c r="G1670" s="24" t="s">
        <v>1398</v>
      </c>
      <c r="H1670" s="7">
        <v>268020500</v>
      </c>
    </row>
    <row r="1671" spans="2:8" x14ac:dyDescent="0.25">
      <c r="B1671" s="544"/>
      <c r="C1671" s="29" t="s">
        <v>3450</v>
      </c>
      <c r="D1671" s="28" t="s">
        <v>3451</v>
      </c>
      <c r="E1671" s="107">
        <f t="shared" ref="E1671:E1685" si="149">E1670+1</f>
        <v>1551</v>
      </c>
      <c r="F1671" s="24">
        <f t="shared" si="148"/>
        <v>0</v>
      </c>
      <c r="G1671" s="24" t="s">
        <v>1398</v>
      </c>
      <c r="H1671" s="7">
        <v>0</v>
      </c>
    </row>
    <row r="1672" spans="2:8" x14ac:dyDescent="0.25">
      <c r="B1672" s="544"/>
      <c r="C1672" s="29" t="s">
        <v>3452</v>
      </c>
      <c r="D1672" s="28" t="s">
        <v>3453</v>
      </c>
      <c r="E1672" s="107">
        <f t="shared" si="149"/>
        <v>1552</v>
      </c>
      <c r="F1672" s="24">
        <f t="shared" si="148"/>
        <v>224690000</v>
      </c>
      <c r="G1672" s="24" t="s">
        <v>1398</v>
      </c>
      <c r="H1672" s="7">
        <v>224690000</v>
      </c>
    </row>
    <row r="1673" spans="2:8" x14ac:dyDescent="0.25">
      <c r="B1673" s="544"/>
      <c r="C1673" s="29" t="s">
        <v>3454</v>
      </c>
      <c r="D1673" s="28" t="s">
        <v>3455</v>
      </c>
      <c r="E1673" s="107">
        <f t="shared" si="149"/>
        <v>1553</v>
      </c>
      <c r="F1673" s="24">
        <f t="shared" si="148"/>
        <v>40471500</v>
      </c>
      <c r="G1673" s="24" t="s">
        <v>1398</v>
      </c>
      <c r="H1673" s="7">
        <v>40471500</v>
      </c>
    </row>
    <row r="1674" spans="2:8" x14ac:dyDescent="0.25">
      <c r="B1674" s="544"/>
      <c r="C1674" s="29" t="s">
        <v>3456</v>
      </c>
      <c r="D1674" s="28" t="s">
        <v>3457</v>
      </c>
      <c r="E1674" s="107">
        <f t="shared" si="149"/>
        <v>1554</v>
      </c>
      <c r="F1674" s="24">
        <f t="shared" si="148"/>
        <v>0</v>
      </c>
      <c r="G1674" s="24" t="s">
        <v>1398</v>
      </c>
      <c r="H1674" s="7">
        <v>0</v>
      </c>
    </row>
    <row r="1675" spans="2:8" x14ac:dyDescent="0.25">
      <c r="B1675" s="544"/>
      <c r="C1675" s="29" t="s">
        <v>3458</v>
      </c>
      <c r="D1675" s="28" t="s">
        <v>3459</v>
      </c>
      <c r="E1675" s="107">
        <f t="shared" si="149"/>
        <v>1555</v>
      </c>
      <c r="F1675" s="24">
        <f t="shared" si="148"/>
        <v>0</v>
      </c>
      <c r="G1675" s="24" t="s">
        <v>1398</v>
      </c>
      <c r="H1675" s="7">
        <v>0</v>
      </c>
    </row>
    <row r="1676" spans="2:8" x14ac:dyDescent="0.25">
      <c r="B1676" s="544"/>
      <c r="C1676" s="29" t="s">
        <v>3460</v>
      </c>
      <c r="D1676" s="28" t="s">
        <v>3461</v>
      </c>
      <c r="E1676" s="107">
        <f t="shared" si="149"/>
        <v>1556</v>
      </c>
      <c r="F1676" s="24">
        <f t="shared" si="148"/>
        <v>2859000</v>
      </c>
      <c r="G1676" s="24" t="s">
        <v>1398</v>
      </c>
      <c r="H1676" s="7">
        <v>2859000</v>
      </c>
    </row>
    <row r="1677" spans="2:8" x14ac:dyDescent="0.25">
      <c r="B1677" s="545"/>
      <c r="C1677" s="29" t="s">
        <v>3462</v>
      </c>
      <c r="D1677" s="28" t="s">
        <v>3463</v>
      </c>
      <c r="E1677" s="107">
        <f t="shared" si="149"/>
        <v>1557</v>
      </c>
      <c r="F1677" s="24">
        <f t="shared" si="148"/>
        <v>0</v>
      </c>
      <c r="G1677" s="24" t="s">
        <v>1398</v>
      </c>
      <c r="H1677" s="7">
        <v>0</v>
      </c>
    </row>
    <row r="1678" spans="2:8" x14ac:dyDescent="0.25">
      <c r="B1678" s="543">
        <f>B1670+1</f>
        <v>1008</v>
      </c>
      <c r="C1678" s="29" t="s">
        <v>3464</v>
      </c>
      <c r="D1678" s="28" t="s">
        <v>3465</v>
      </c>
      <c r="E1678" s="107">
        <f t="shared" si="149"/>
        <v>1558</v>
      </c>
      <c r="F1678" s="24">
        <f t="shared" si="148"/>
        <v>323828064</v>
      </c>
      <c r="G1678" s="24" t="s">
        <v>1398</v>
      </c>
      <c r="H1678" s="7">
        <v>323828064</v>
      </c>
    </row>
    <row r="1679" spans="2:8" x14ac:dyDescent="0.25">
      <c r="B1679" s="544"/>
      <c r="C1679" s="29" t="s">
        <v>3466</v>
      </c>
      <c r="D1679" s="28" t="s">
        <v>3467</v>
      </c>
      <c r="E1679" s="107">
        <f t="shared" si="149"/>
        <v>1559</v>
      </c>
      <c r="F1679" s="24">
        <f t="shared" si="148"/>
        <v>104352000</v>
      </c>
      <c r="G1679" s="24" t="s">
        <v>1398</v>
      </c>
      <c r="H1679" s="7">
        <v>104352000</v>
      </c>
    </row>
    <row r="1680" spans="2:8" x14ac:dyDescent="0.25">
      <c r="B1680" s="544"/>
      <c r="C1680" s="29" t="s">
        <v>3468</v>
      </c>
      <c r="D1680" s="28" t="s">
        <v>3469</v>
      </c>
      <c r="E1680" s="107">
        <f t="shared" si="149"/>
        <v>1560</v>
      </c>
      <c r="F1680" s="24">
        <f t="shared" si="148"/>
        <v>129607500</v>
      </c>
      <c r="G1680" s="24" t="s">
        <v>1398</v>
      </c>
      <c r="H1680" s="7">
        <v>129607500</v>
      </c>
    </row>
    <row r="1681" spans="2:8" x14ac:dyDescent="0.25">
      <c r="B1681" s="544"/>
      <c r="C1681" s="29" t="s">
        <v>3470</v>
      </c>
      <c r="D1681" s="28" t="s">
        <v>3471</v>
      </c>
      <c r="E1681" s="107">
        <f t="shared" si="149"/>
        <v>1561</v>
      </c>
      <c r="F1681" s="24">
        <f t="shared" si="148"/>
        <v>69153000</v>
      </c>
      <c r="G1681" s="24" t="s">
        <v>1398</v>
      </c>
      <c r="H1681" s="7">
        <v>69153000</v>
      </c>
    </row>
    <row r="1682" spans="2:8" x14ac:dyDescent="0.25">
      <c r="B1682" s="544"/>
      <c r="C1682" s="29" t="s">
        <v>3472</v>
      </c>
      <c r="D1682" s="28" t="s">
        <v>3473</v>
      </c>
      <c r="E1682" s="107">
        <f t="shared" si="149"/>
        <v>1562</v>
      </c>
      <c r="F1682" s="24">
        <f t="shared" si="148"/>
        <v>3266000</v>
      </c>
      <c r="G1682" s="24" t="s">
        <v>1398</v>
      </c>
      <c r="H1682" s="7">
        <v>3266000</v>
      </c>
    </row>
    <row r="1683" spans="2:8" x14ac:dyDescent="0.25">
      <c r="B1683" s="544"/>
      <c r="C1683" s="29" t="s">
        <v>3474</v>
      </c>
      <c r="D1683" s="28" t="s">
        <v>3475</v>
      </c>
      <c r="E1683" s="107">
        <f t="shared" si="149"/>
        <v>1563</v>
      </c>
      <c r="F1683" s="24">
        <f t="shared" si="148"/>
        <v>13026564</v>
      </c>
      <c r="G1683" s="24" t="s">
        <v>1398</v>
      </c>
      <c r="H1683" s="7">
        <v>13026564</v>
      </c>
    </row>
    <row r="1684" spans="2:8" x14ac:dyDescent="0.25">
      <c r="B1684" s="544"/>
      <c r="C1684" s="29" t="s">
        <v>3476</v>
      </c>
      <c r="D1684" s="28" t="s">
        <v>3477</v>
      </c>
      <c r="E1684" s="107">
        <f t="shared" si="149"/>
        <v>1564</v>
      </c>
      <c r="F1684" s="24">
        <f t="shared" si="148"/>
        <v>4423000</v>
      </c>
      <c r="G1684" s="24" t="s">
        <v>1398</v>
      </c>
      <c r="H1684" s="7">
        <v>4423000</v>
      </c>
    </row>
    <row r="1685" spans="2:8" x14ac:dyDescent="0.25">
      <c r="B1685" s="544"/>
      <c r="C1685" s="29" t="s">
        <v>3478</v>
      </c>
      <c r="D1685" s="28" t="s">
        <v>3479</v>
      </c>
      <c r="E1685" s="107">
        <f t="shared" si="149"/>
        <v>1565</v>
      </c>
      <c r="F1685" s="24">
        <f t="shared" si="148"/>
        <v>0</v>
      </c>
      <c r="G1685" s="24" t="s">
        <v>1398</v>
      </c>
      <c r="H1685" s="7">
        <v>0</v>
      </c>
    </row>
    <row r="1686" spans="2:8" x14ac:dyDescent="0.25">
      <c r="B1686" s="127"/>
      <c r="C1686" s="56" t="s">
        <v>3480</v>
      </c>
      <c r="D1686" s="57"/>
      <c r="E1686" s="105"/>
      <c r="F1686" s="19"/>
      <c r="G1686" s="14"/>
      <c r="H1686" s="140"/>
    </row>
    <row r="1687" spans="2:8" x14ac:dyDescent="0.25">
      <c r="B1687" s="543">
        <f>B1678+1</f>
        <v>1009</v>
      </c>
      <c r="C1687" s="29" t="s">
        <v>3481</v>
      </c>
      <c r="D1687" s="28" t="s">
        <v>3482</v>
      </c>
      <c r="E1687" s="107">
        <f>E1685+1</f>
        <v>1566</v>
      </c>
      <c r="F1687" s="24">
        <f t="shared" ref="F1687:F1694" si="150">H1687</f>
        <v>282800000</v>
      </c>
      <c r="G1687" s="24" t="s">
        <v>1398</v>
      </c>
      <c r="H1687" s="7">
        <v>282800000</v>
      </c>
    </row>
    <row r="1688" spans="2:8" x14ac:dyDescent="0.25">
      <c r="B1688" s="544"/>
      <c r="C1688" s="29" t="s">
        <v>3483</v>
      </c>
      <c r="D1688" s="28" t="s">
        <v>3484</v>
      </c>
      <c r="E1688" s="107">
        <f t="shared" ref="E1688:E1694" si="151">E1687+1</f>
        <v>1567</v>
      </c>
      <c r="F1688" s="24">
        <f t="shared" si="150"/>
        <v>1000000</v>
      </c>
      <c r="G1688" s="24" t="s">
        <v>1398</v>
      </c>
      <c r="H1688" s="7">
        <v>1000000</v>
      </c>
    </row>
    <row r="1689" spans="2:8" x14ac:dyDescent="0.25">
      <c r="B1689" s="544"/>
      <c r="C1689" s="29" t="s">
        <v>3485</v>
      </c>
      <c r="D1689" s="28" t="s">
        <v>3486</v>
      </c>
      <c r="E1689" s="107">
        <f t="shared" si="151"/>
        <v>1568</v>
      </c>
      <c r="F1689" s="24">
        <f t="shared" si="150"/>
        <v>1000000</v>
      </c>
      <c r="G1689" s="24" t="s">
        <v>1398</v>
      </c>
      <c r="H1689" s="7">
        <v>1000000</v>
      </c>
    </row>
    <row r="1690" spans="2:8" x14ac:dyDescent="0.25">
      <c r="B1690" s="545"/>
      <c r="C1690" s="29" t="s">
        <v>3487</v>
      </c>
      <c r="D1690" s="28" t="s">
        <v>3488</v>
      </c>
      <c r="E1690" s="107">
        <f t="shared" si="151"/>
        <v>1569</v>
      </c>
      <c r="F1690" s="24">
        <f t="shared" si="150"/>
        <v>280800000</v>
      </c>
      <c r="G1690" s="24" t="s">
        <v>1398</v>
      </c>
      <c r="H1690" s="7">
        <v>280800000</v>
      </c>
    </row>
    <row r="1691" spans="2:8" x14ac:dyDescent="0.25">
      <c r="B1691" s="543">
        <f>B1687+1</f>
        <v>1010</v>
      </c>
      <c r="C1691" s="29" t="s">
        <v>3489</v>
      </c>
      <c r="D1691" s="28" t="s">
        <v>3490</v>
      </c>
      <c r="E1691" s="107">
        <f t="shared" si="151"/>
        <v>1570</v>
      </c>
      <c r="F1691" s="24">
        <f t="shared" si="150"/>
        <v>283800000</v>
      </c>
      <c r="G1691" s="24" t="s">
        <v>1398</v>
      </c>
      <c r="H1691" s="7">
        <v>283800000</v>
      </c>
    </row>
    <row r="1692" spans="2:8" x14ac:dyDescent="0.25">
      <c r="B1692" s="544"/>
      <c r="C1692" s="29" t="s">
        <v>3491</v>
      </c>
      <c r="D1692" s="28" t="s">
        <v>3492</v>
      </c>
      <c r="E1692" s="107">
        <f t="shared" si="151"/>
        <v>1571</v>
      </c>
      <c r="F1692" s="24">
        <f t="shared" si="150"/>
        <v>1500000</v>
      </c>
      <c r="G1692" s="24" t="s">
        <v>1398</v>
      </c>
      <c r="H1692" s="7">
        <v>1500000</v>
      </c>
    </row>
    <row r="1693" spans="2:8" x14ac:dyDescent="0.25">
      <c r="B1693" s="544"/>
      <c r="C1693" s="29" t="s">
        <v>3493</v>
      </c>
      <c r="D1693" s="28" t="s">
        <v>3494</v>
      </c>
      <c r="E1693" s="107">
        <f t="shared" si="151"/>
        <v>1572</v>
      </c>
      <c r="F1693" s="24">
        <f t="shared" si="150"/>
        <v>1500000</v>
      </c>
      <c r="G1693" s="24" t="s">
        <v>1398</v>
      </c>
      <c r="H1693" s="7">
        <v>1500000</v>
      </c>
    </row>
    <row r="1694" spans="2:8" x14ac:dyDescent="0.25">
      <c r="B1694" s="545"/>
      <c r="C1694" s="29" t="s">
        <v>3495</v>
      </c>
      <c r="D1694" s="28" t="s">
        <v>3496</v>
      </c>
      <c r="E1694" s="107">
        <f t="shared" si="151"/>
        <v>1573</v>
      </c>
      <c r="F1694" s="24">
        <f t="shared" si="150"/>
        <v>280800000</v>
      </c>
      <c r="G1694" s="24" t="s">
        <v>1398</v>
      </c>
      <c r="H1694" s="7">
        <v>280800000</v>
      </c>
    </row>
    <row r="1695" spans="2:8" ht="21" customHeight="1" x14ac:dyDescent="0.25">
      <c r="B1695" s="578" t="s">
        <v>3497</v>
      </c>
      <c r="C1695" s="579"/>
      <c r="D1695" s="580"/>
      <c r="E1695" s="133"/>
      <c r="F1695" s="24"/>
      <c r="G1695" s="24"/>
      <c r="H1695" s="144"/>
    </row>
    <row r="1696" spans="2:8" ht="21" customHeight="1" x14ac:dyDescent="0.25">
      <c r="B1696" s="128"/>
      <c r="C1696" s="511" t="s">
        <v>3498</v>
      </c>
      <c r="D1696" s="512"/>
      <c r="E1696" s="133"/>
      <c r="F1696" s="24"/>
      <c r="G1696" s="24"/>
      <c r="H1696" s="144"/>
    </row>
    <row r="1697" spans="1:11" x14ac:dyDescent="0.25">
      <c r="B1697" s="127">
        <v>1101</v>
      </c>
      <c r="C1697" s="30" t="s">
        <v>3499</v>
      </c>
      <c r="D1697" s="28" t="s">
        <v>3500</v>
      </c>
      <c r="E1697" s="107">
        <f>E1694+1</f>
        <v>1574</v>
      </c>
      <c r="F1697" s="67">
        <f>H1697</f>
        <v>13000</v>
      </c>
      <c r="G1697" s="14" t="s">
        <v>1151</v>
      </c>
      <c r="H1697" s="65">
        <v>13000</v>
      </c>
    </row>
    <row r="1698" spans="1:11" x14ac:dyDescent="0.25">
      <c r="B1698" s="127">
        <f>B1697+1</f>
        <v>1102</v>
      </c>
      <c r="C1698" s="30" t="s">
        <v>3501</v>
      </c>
      <c r="D1698" s="28" t="s">
        <v>3502</v>
      </c>
      <c r="E1698" s="107">
        <f>E1697+1</f>
        <v>1575</v>
      </c>
      <c r="F1698" s="14" t="str">
        <f>H1698</f>
        <v>0 Jam 15 Menit</v>
      </c>
      <c r="G1698" s="14" t="s">
        <v>3503</v>
      </c>
      <c r="H1698" s="4" t="s">
        <v>3504</v>
      </c>
    </row>
    <row r="1699" spans="1:11" x14ac:dyDescent="0.25">
      <c r="B1699" s="127">
        <f>B1698+1</f>
        <v>1103</v>
      </c>
      <c r="C1699" s="30" t="s">
        <v>3505</v>
      </c>
      <c r="D1699" s="28" t="s">
        <v>3506</v>
      </c>
      <c r="E1699" s="107">
        <f>E1698+1</f>
        <v>1576</v>
      </c>
      <c r="F1699" s="31">
        <f>H1699</f>
        <v>15000</v>
      </c>
      <c r="G1699" s="14"/>
      <c r="H1699" s="10">
        <v>15000</v>
      </c>
    </row>
    <row r="1700" spans="1:11" ht="31.5" customHeight="1" x14ac:dyDescent="0.25">
      <c r="B1700" s="127">
        <f>B1699+1</f>
        <v>1104</v>
      </c>
      <c r="C1700" s="29" t="s">
        <v>3507</v>
      </c>
      <c r="D1700" s="28" t="s">
        <v>3508</v>
      </c>
      <c r="E1700" s="107">
        <f>E1699+1</f>
        <v>1577</v>
      </c>
      <c r="F1700" s="14" t="str">
        <f>H1700</f>
        <v>JALUR DARAT LEBIH EFEKTIF DAN EFESIEN</v>
      </c>
      <c r="G1700" s="14" t="s">
        <v>33</v>
      </c>
      <c r="H1700" s="10" t="s">
        <v>3509</v>
      </c>
    </row>
    <row r="1701" spans="1:11" x14ac:dyDescent="0.25">
      <c r="B1701" s="128"/>
      <c r="C1701" s="500" t="s">
        <v>3510</v>
      </c>
      <c r="D1701" s="501"/>
      <c r="E1701" s="133"/>
      <c r="F1701" s="31"/>
      <c r="G1701" s="14"/>
      <c r="H1701" s="145"/>
    </row>
    <row r="1702" spans="1:11" x14ac:dyDescent="0.25">
      <c r="B1702" s="127">
        <f>B1700+1</f>
        <v>1105</v>
      </c>
      <c r="C1702" s="30" t="s">
        <v>3511</v>
      </c>
      <c r="D1702" s="28" t="s">
        <v>3512</v>
      </c>
      <c r="E1702" s="107">
        <f>E1700+1</f>
        <v>1578</v>
      </c>
      <c r="F1702" s="67">
        <f>H1702</f>
        <v>40000</v>
      </c>
      <c r="G1702" s="14" t="s">
        <v>1151</v>
      </c>
      <c r="H1702" s="65">
        <v>40000</v>
      </c>
    </row>
    <row r="1703" spans="1:11" x14ac:dyDescent="0.25">
      <c r="B1703" s="127">
        <f>B1702+1</f>
        <v>1106</v>
      </c>
      <c r="C1703" s="30" t="s">
        <v>3513</v>
      </c>
      <c r="D1703" s="28" t="s">
        <v>3514</v>
      </c>
      <c r="E1703" s="107">
        <f>E1702+1</f>
        <v>1579</v>
      </c>
      <c r="F1703" s="14">
        <f>H1703</f>
        <v>1</v>
      </c>
      <c r="G1703" s="14" t="s">
        <v>3503</v>
      </c>
      <c r="H1703" s="4">
        <v>1</v>
      </c>
    </row>
    <row r="1704" spans="1:11" x14ac:dyDescent="0.25">
      <c r="B1704" s="127">
        <f>B1703+1</f>
        <v>1107</v>
      </c>
      <c r="C1704" s="30" t="s">
        <v>3515</v>
      </c>
      <c r="D1704" s="28" t="s">
        <v>3516</v>
      </c>
      <c r="E1704" s="107">
        <f>E1703+1</f>
        <v>1580</v>
      </c>
      <c r="F1704" s="31">
        <f>H1704</f>
        <v>35000</v>
      </c>
      <c r="G1704" s="14" t="s">
        <v>3517</v>
      </c>
      <c r="H1704" s="10">
        <v>35000</v>
      </c>
    </row>
    <row r="1705" spans="1:11" ht="31.5" customHeight="1" x14ac:dyDescent="0.25">
      <c r="B1705" s="127">
        <f>B1704+1</f>
        <v>1108</v>
      </c>
      <c r="C1705" s="29" t="s">
        <v>3507</v>
      </c>
      <c r="D1705" s="28" t="s">
        <v>3518</v>
      </c>
      <c r="E1705" s="107">
        <f>E1704+1</f>
        <v>1581</v>
      </c>
      <c r="F1705" s="31" t="str">
        <f>H1705</f>
        <v>JALUR DARAT LEBIH EFEKTIF DAN EFESIEN</v>
      </c>
      <c r="G1705" s="14" t="s">
        <v>33</v>
      </c>
      <c r="H1705" s="10" t="s">
        <v>3509</v>
      </c>
    </row>
    <row r="1706" spans="1:11" ht="25.5" customHeight="1" x14ac:dyDescent="0.25">
      <c r="B1706" s="128"/>
      <c r="C1706" s="500" t="s">
        <v>3519</v>
      </c>
      <c r="D1706" s="501"/>
      <c r="E1706" s="19"/>
      <c r="F1706" s="31"/>
      <c r="G1706" s="14"/>
      <c r="H1706" s="145"/>
    </row>
    <row r="1707" spans="1:11" x14ac:dyDescent="0.25">
      <c r="B1707" s="127">
        <f>B1705+1</f>
        <v>1109</v>
      </c>
      <c r="C1707" s="30" t="s">
        <v>3520</v>
      </c>
      <c r="D1707" s="28" t="s">
        <v>3521</v>
      </c>
      <c r="E1707" s="107">
        <f>E1705+1</f>
        <v>1582</v>
      </c>
      <c r="F1707" s="67">
        <f>H1707</f>
        <v>189000</v>
      </c>
      <c r="G1707" s="14" t="s">
        <v>1151</v>
      </c>
      <c r="H1707" s="65">
        <v>189000</v>
      </c>
    </row>
    <row r="1708" spans="1:11" x14ac:dyDescent="0.25">
      <c r="B1708" s="127">
        <f>B1707+1</f>
        <v>1110</v>
      </c>
      <c r="C1708" s="30" t="s">
        <v>3522</v>
      </c>
      <c r="D1708" s="28" t="s">
        <v>3523</v>
      </c>
      <c r="E1708" s="107">
        <f>E1707+1</f>
        <v>1583</v>
      </c>
      <c r="F1708" s="14" t="str">
        <f>H1708</f>
        <v>4 jam 40 menit</v>
      </c>
      <c r="G1708" s="14" t="s">
        <v>3503</v>
      </c>
      <c r="H1708" s="4" t="s">
        <v>3524</v>
      </c>
    </row>
    <row r="1709" spans="1:11" x14ac:dyDescent="0.25">
      <c r="B1709" s="127">
        <f>B1708+1</f>
        <v>1111</v>
      </c>
      <c r="C1709" s="30" t="s">
        <v>3525</v>
      </c>
      <c r="D1709" s="28" t="s">
        <v>3526</v>
      </c>
      <c r="E1709" s="107">
        <f>E1708+1</f>
        <v>1584</v>
      </c>
      <c r="F1709" s="31">
        <f>H1709</f>
        <v>120000</v>
      </c>
      <c r="G1709" s="14" t="s">
        <v>3517</v>
      </c>
      <c r="H1709" s="10">
        <v>120000</v>
      </c>
    </row>
    <row r="1710" spans="1:11" ht="31.5" customHeight="1" x14ac:dyDescent="0.25">
      <c r="B1710" s="262">
        <f>B1709+1</f>
        <v>1112</v>
      </c>
      <c r="C1710" s="226" t="s">
        <v>3507</v>
      </c>
      <c r="D1710" s="227" t="s">
        <v>3527</v>
      </c>
      <c r="E1710" s="112">
        <f>E1709+1</f>
        <v>1585</v>
      </c>
      <c r="F1710" s="31" t="str">
        <f>H1710</f>
        <v>JALUR DARAT LEBIH EFEKTIF DAN EFESIEN</v>
      </c>
      <c r="G1710" s="14" t="s">
        <v>33</v>
      </c>
      <c r="H1710" s="10" t="s">
        <v>3509</v>
      </c>
    </row>
    <row r="1711" spans="1:11" ht="29.25" customHeight="1" x14ac:dyDescent="0.25">
      <c r="B1711" s="587" t="s">
        <v>3528</v>
      </c>
      <c r="C1711" s="588"/>
      <c r="D1711" s="588"/>
      <c r="E1711" s="588"/>
      <c r="F1711" s="588"/>
      <c r="G1711" s="588"/>
      <c r="H1711" s="589"/>
    </row>
    <row r="1712" spans="1:11" ht="15.75" customHeight="1" x14ac:dyDescent="0.25">
      <c r="A1712" s="235"/>
      <c r="B1712" s="236">
        <v>1</v>
      </c>
      <c r="C1712" s="237" t="s">
        <v>3529</v>
      </c>
      <c r="D1712" s="237"/>
      <c r="E1712" s="107">
        <f>E1710+1</f>
        <v>1586</v>
      </c>
      <c r="F1712" s="236" t="str">
        <f>H1712</f>
        <v>SULAWESI SELATAN</v>
      </c>
      <c r="G1712" s="236" t="s">
        <v>33</v>
      </c>
      <c r="H1712" s="236" t="str">
        <f>H20</f>
        <v>SULAWESI SELATAN</v>
      </c>
      <c r="I1712" s="198"/>
      <c r="J1712" s="199" t="s">
        <v>3530</v>
      </c>
      <c r="K1712" s="399"/>
    </row>
    <row r="1713" spans="1:13" ht="15.75" customHeight="1" x14ac:dyDescent="0.25">
      <c r="A1713" s="235"/>
      <c r="B1713" s="236">
        <v>2</v>
      </c>
      <c r="C1713" s="237" t="s">
        <v>3531</v>
      </c>
      <c r="D1713" s="237"/>
      <c r="E1713" s="107">
        <f t="shared" ref="E1713:E1731" si="152">E1712+1</f>
        <v>1587</v>
      </c>
      <c r="F1713" s="236" t="str">
        <f>H1713</f>
        <v>BULUKUMBA</v>
      </c>
      <c r="G1713" s="236" t="s">
        <v>33</v>
      </c>
      <c r="H1713" s="236" t="str">
        <f>H22</f>
        <v>BULUKUMBA</v>
      </c>
      <c r="I1713" s="198"/>
      <c r="J1713" s="199" t="s">
        <v>3532</v>
      </c>
      <c r="K1713" s="399"/>
    </row>
    <row r="1714" spans="1:13" ht="15.75" customHeight="1" x14ac:dyDescent="0.25">
      <c r="A1714" s="235"/>
      <c r="B1714" s="236">
        <v>3</v>
      </c>
      <c r="C1714" s="237" t="s">
        <v>3533</v>
      </c>
      <c r="D1714" s="237"/>
      <c r="E1714" s="107">
        <f t="shared" si="152"/>
        <v>1588</v>
      </c>
      <c r="F1714" s="236" t="str">
        <f>H1714</f>
        <v>BONTO BAHARI</v>
      </c>
      <c r="G1714" s="236" t="s">
        <v>33</v>
      </c>
      <c r="H1714" s="236" t="str">
        <f>H24</f>
        <v>BONTO BAHARI</v>
      </c>
      <c r="I1714" s="198"/>
      <c r="J1714" s="199" t="s">
        <v>3534</v>
      </c>
      <c r="K1714" s="399"/>
    </row>
    <row r="1715" spans="1:13" ht="15.75" customHeight="1" x14ac:dyDescent="0.25">
      <c r="A1715" s="235"/>
      <c r="B1715" s="236">
        <v>4</v>
      </c>
      <c r="C1715" s="237" t="s">
        <v>90</v>
      </c>
      <c r="D1715" s="237"/>
      <c r="E1715" s="107">
        <f t="shared" si="152"/>
        <v>1589</v>
      </c>
      <c r="F1715" s="236" t="str">
        <f>H1715</f>
        <v>BIRA</v>
      </c>
      <c r="G1715" s="236" t="s">
        <v>33</v>
      </c>
      <c r="H1715" s="236" t="str">
        <f>H26</f>
        <v>BIRA</v>
      </c>
      <c r="I1715" s="198"/>
      <c r="J1715" s="199" t="s">
        <v>3535</v>
      </c>
      <c r="K1715" s="399"/>
    </row>
    <row r="1716" spans="1:13" ht="15.75" customHeight="1" x14ac:dyDescent="0.25">
      <c r="A1716" s="235"/>
      <c r="B1716" s="236">
        <v>5</v>
      </c>
      <c r="C1716" s="237" t="s">
        <v>3536</v>
      </c>
      <c r="D1716" s="237"/>
      <c r="E1716" s="107">
        <f t="shared" si="152"/>
        <v>1590</v>
      </c>
      <c r="F1716" s="236">
        <f>H1716</f>
        <v>7302032005</v>
      </c>
      <c r="G1716" s="236" t="s">
        <v>33</v>
      </c>
      <c r="H1716" s="236">
        <f>H25</f>
        <v>7302032005</v>
      </c>
      <c r="I1716" s="198"/>
      <c r="J1716" s="199" t="s">
        <v>3537</v>
      </c>
      <c r="K1716" s="388"/>
    </row>
    <row r="1717" spans="1:13" ht="30" customHeight="1" x14ac:dyDescent="0.25">
      <c r="A1717" s="228"/>
      <c r="B1717" s="229">
        <v>6</v>
      </c>
      <c r="C1717" s="230" t="s">
        <v>3538</v>
      </c>
      <c r="D1717" s="230"/>
      <c r="E1717" s="107">
        <f t="shared" si="152"/>
        <v>1591</v>
      </c>
      <c r="F1717" s="231"/>
      <c r="G1717" s="231" t="s">
        <v>45</v>
      </c>
      <c r="H1717" s="232" t="s">
        <v>3539</v>
      </c>
      <c r="I1717" s="403"/>
      <c r="J1717" s="212"/>
      <c r="K1717" s="388"/>
    </row>
    <row r="1718" spans="1:13" ht="15.75" customHeight="1" x14ac:dyDescent="0.25">
      <c r="A1718" s="228"/>
      <c r="B1718" s="229">
        <v>7</v>
      </c>
      <c r="C1718" s="230" t="s">
        <v>3540</v>
      </c>
      <c r="D1718" s="230"/>
      <c r="E1718" s="107">
        <f t="shared" si="152"/>
        <v>1592</v>
      </c>
      <c r="F1718" s="231"/>
      <c r="G1718" s="231" t="s">
        <v>45</v>
      </c>
      <c r="H1718" s="232" t="s">
        <v>148</v>
      </c>
      <c r="I1718" s="201"/>
      <c r="J1718" s="202"/>
      <c r="K1718" s="388"/>
    </row>
    <row r="1719" spans="1:13" ht="15" customHeight="1" x14ac:dyDescent="0.25">
      <c r="A1719" s="233"/>
      <c r="B1719" s="229">
        <v>8</v>
      </c>
      <c r="C1719" s="234" t="s">
        <v>3541</v>
      </c>
      <c r="D1719" s="234"/>
      <c r="E1719" s="107">
        <f t="shared" si="152"/>
        <v>1593</v>
      </c>
      <c r="F1719" s="392"/>
      <c r="G1719" s="233" t="s">
        <v>1048</v>
      </c>
      <c r="H1719" s="247">
        <v>1195</v>
      </c>
      <c r="I1719" s="203"/>
      <c r="J1719" s="430" t="s">
        <v>3542</v>
      </c>
      <c r="K1719" s="70" t="s">
        <v>3543</v>
      </c>
    </row>
    <row r="1720" spans="1:13" ht="15.75" customHeight="1" x14ac:dyDescent="0.25">
      <c r="A1720" s="235"/>
      <c r="B1720" s="236">
        <v>9</v>
      </c>
      <c r="C1720" s="237" t="s">
        <v>3544</v>
      </c>
      <c r="D1720" s="237"/>
      <c r="E1720" s="107">
        <f t="shared" si="152"/>
        <v>1594</v>
      </c>
      <c r="F1720" s="236"/>
      <c r="G1720" s="236" t="s">
        <v>33</v>
      </c>
      <c r="H1720" s="238">
        <f>H493</f>
        <v>4183</v>
      </c>
      <c r="I1720" s="204"/>
      <c r="J1720" s="199" t="s">
        <v>3545</v>
      </c>
    </row>
    <row r="1721" spans="1:13" ht="15.75" customHeight="1" x14ac:dyDescent="0.25">
      <c r="A1721" s="235"/>
      <c r="B1721" s="236">
        <v>10</v>
      </c>
      <c r="C1721" s="237" t="s">
        <v>1064</v>
      </c>
      <c r="D1721" s="237"/>
      <c r="E1721" s="107">
        <f t="shared" si="152"/>
        <v>1595</v>
      </c>
      <c r="F1721" s="236"/>
      <c r="G1721" s="236" t="s">
        <v>33</v>
      </c>
      <c r="H1721" s="238">
        <f>H494</f>
        <v>2025</v>
      </c>
      <c r="I1721" s="204"/>
      <c r="J1721" s="199" t="s">
        <v>3546</v>
      </c>
      <c r="K1721" s="388"/>
    </row>
    <row r="1722" spans="1:13" ht="15.75" customHeight="1" x14ac:dyDescent="0.25">
      <c r="A1722" s="235"/>
      <c r="B1722" s="236">
        <v>11</v>
      </c>
      <c r="C1722" s="237" t="s">
        <v>1067</v>
      </c>
      <c r="D1722" s="237"/>
      <c r="E1722" s="107">
        <f t="shared" si="152"/>
        <v>1596</v>
      </c>
      <c r="F1722" s="236"/>
      <c r="G1722" s="236" t="s">
        <v>33</v>
      </c>
      <c r="H1722" s="238">
        <f>H495</f>
        <v>2158</v>
      </c>
      <c r="I1722" s="204"/>
      <c r="J1722" s="199" t="s">
        <v>3547</v>
      </c>
      <c r="K1722" s="388"/>
    </row>
    <row r="1723" spans="1:13" ht="15.75" customHeight="1" x14ac:dyDescent="0.25">
      <c r="A1723" s="228"/>
      <c r="B1723" s="229">
        <v>12</v>
      </c>
      <c r="C1723" s="230" t="s">
        <v>3548</v>
      </c>
      <c r="D1723" s="230"/>
      <c r="E1723" s="107">
        <f t="shared" si="152"/>
        <v>1597</v>
      </c>
      <c r="F1723" s="231"/>
      <c r="G1723" s="231" t="s">
        <v>33</v>
      </c>
      <c r="H1723" s="380">
        <v>198</v>
      </c>
      <c r="I1723" s="204"/>
      <c r="J1723" s="431" t="s">
        <v>3549</v>
      </c>
      <c r="K1723" s="388"/>
      <c r="M1723" s="254"/>
    </row>
    <row r="1724" spans="1:13" ht="15.75" customHeight="1" x14ac:dyDescent="0.25">
      <c r="A1724" s="228"/>
      <c r="B1724" s="229">
        <v>13</v>
      </c>
      <c r="C1724" s="230" t="s">
        <v>3550</v>
      </c>
      <c r="D1724" s="230"/>
      <c r="E1724" s="107">
        <f t="shared" si="152"/>
        <v>1598</v>
      </c>
      <c r="F1724" s="231"/>
      <c r="G1724" s="231" t="s">
        <v>33</v>
      </c>
      <c r="H1724" s="380">
        <v>320</v>
      </c>
      <c r="I1724" s="204"/>
      <c r="J1724" s="431" t="s">
        <v>3549</v>
      </c>
      <c r="K1724" s="388"/>
      <c r="M1724" s="254"/>
    </row>
    <row r="1725" spans="1:13" ht="15.75" customHeight="1" x14ac:dyDescent="0.25">
      <c r="A1725" s="228"/>
      <c r="B1725" s="229">
        <v>14</v>
      </c>
      <c r="C1725" s="230" t="s">
        <v>3551</v>
      </c>
      <c r="D1725" s="230"/>
      <c r="E1725" s="107">
        <f t="shared" si="152"/>
        <v>1599</v>
      </c>
      <c r="F1725" s="231"/>
      <c r="G1725" s="231" t="s">
        <v>33</v>
      </c>
      <c r="H1725" s="380">
        <v>337</v>
      </c>
      <c r="I1725" s="204"/>
      <c r="J1725" s="431" t="s">
        <v>3549</v>
      </c>
      <c r="K1725" s="388"/>
      <c r="M1725" s="254"/>
    </row>
    <row r="1726" spans="1:13" ht="15.75" customHeight="1" x14ac:dyDescent="0.25">
      <c r="A1726" s="228"/>
      <c r="B1726" s="229">
        <v>15</v>
      </c>
      <c r="C1726" s="230" t="s">
        <v>3552</v>
      </c>
      <c r="D1726" s="230"/>
      <c r="E1726" s="107">
        <f t="shared" si="152"/>
        <v>1600</v>
      </c>
      <c r="F1726" s="231"/>
      <c r="G1726" s="231" t="s">
        <v>33</v>
      </c>
      <c r="H1726" s="380">
        <v>2822</v>
      </c>
      <c r="I1726" s="204"/>
      <c r="J1726" s="431" t="s">
        <v>3549</v>
      </c>
      <c r="K1726" s="388"/>
      <c r="M1726" s="254"/>
    </row>
    <row r="1727" spans="1:13" ht="15.75" customHeight="1" x14ac:dyDescent="0.25">
      <c r="A1727" s="228"/>
      <c r="B1727" s="229">
        <v>16</v>
      </c>
      <c r="C1727" s="230" t="s">
        <v>3553</v>
      </c>
      <c r="D1727" s="230"/>
      <c r="E1727" s="107">
        <f t="shared" si="152"/>
        <v>1601</v>
      </c>
      <c r="F1727" s="231"/>
      <c r="G1727" s="231" t="s">
        <v>33</v>
      </c>
      <c r="H1727" s="380">
        <v>505</v>
      </c>
      <c r="I1727" s="204"/>
      <c r="J1727" s="431" t="s">
        <v>3549</v>
      </c>
      <c r="K1727" s="388"/>
      <c r="M1727" s="254"/>
    </row>
    <row r="1728" spans="1:13" ht="15.75" customHeight="1" x14ac:dyDescent="0.25">
      <c r="A1728" s="235"/>
      <c r="B1728" s="236">
        <v>17</v>
      </c>
      <c r="C1728" s="237" t="s">
        <v>3554</v>
      </c>
      <c r="D1728" s="237"/>
      <c r="E1728" s="107">
        <f t="shared" si="152"/>
        <v>1602</v>
      </c>
      <c r="F1728" s="236"/>
      <c r="G1728" s="236" t="s">
        <v>33</v>
      </c>
      <c r="H1728" s="238">
        <f>H499</f>
        <v>1350</v>
      </c>
      <c r="I1728" s="204"/>
      <c r="J1728" s="199" t="s">
        <v>3555</v>
      </c>
      <c r="K1728" s="388"/>
      <c r="M1728" s="254"/>
    </row>
    <row r="1729" spans="1:11" ht="30" customHeight="1" x14ac:dyDescent="0.25">
      <c r="A1729" s="228"/>
      <c r="B1729" s="229">
        <v>18</v>
      </c>
      <c r="C1729" s="230" t="s">
        <v>3556</v>
      </c>
      <c r="D1729" s="230"/>
      <c r="E1729" s="107">
        <f t="shared" si="152"/>
        <v>1603</v>
      </c>
      <c r="F1729" s="231"/>
      <c r="G1729" s="231" t="s">
        <v>33</v>
      </c>
      <c r="H1729" s="380">
        <v>23000000</v>
      </c>
      <c r="I1729" s="404"/>
      <c r="J1729" s="202"/>
      <c r="K1729" s="388"/>
    </row>
    <row r="1730" spans="1:11" ht="15.75" customHeight="1" x14ac:dyDescent="0.25">
      <c r="A1730" s="228"/>
      <c r="B1730" s="229">
        <v>19</v>
      </c>
      <c r="C1730" s="230" t="s">
        <v>3557</v>
      </c>
      <c r="D1730" s="230"/>
      <c r="E1730" s="107">
        <f t="shared" si="152"/>
        <v>1604</v>
      </c>
      <c r="F1730" s="231"/>
      <c r="G1730" s="231" t="s">
        <v>33</v>
      </c>
      <c r="H1730" s="380">
        <v>82</v>
      </c>
      <c r="I1730" s="404"/>
      <c r="J1730" s="202" t="s">
        <v>3558</v>
      </c>
      <c r="K1730" s="388"/>
    </row>
    <row r="1731" spans="1:11" ht="15.75" customHeight="1" x14ac:dyDescent="0.25">
      <c r="A1731" s="228"/>
      <c r="B1731" s="229">
        <v>20</v>
      </c>
      <c r="C1731" s="230" t="s">
        <v>3559</v>
      </c>
      <c r="D1731" s="230"/>
      <c r="E1731" s="107">
        <f t="shared" si="152"/>
        <v>1605</v>
      </c>
      <c r="F1731" s="231"/>
      <c r="G1731" s="231" t="s">
        <v>33</v>
      </c>
      <c r="H1731" s="380">
        <v>991</v>
      </c>
      <c r="I1731" s="404"/>
      <c r="J1731" s="202" t="s">
        <v>3558</v>
      </c>
      <c r="K1731" s="388"/>
    </row>
    <row r="1732" spans="1:11" ht="15" customHeight="1" x14ac:dyDescent="0.25">
      <c r="A1732" s="563">
        <v>1</v>
      </c>
      <c r="B1732" s="564"/>
      <c r="C1732" s="563" t="s">
        <v>3560</v>
      </c>
      <c r="D1732" s="563"/>
      <c r="E1732" s="563"/>
      <c r="F1732" s="563"/>
      <c r="G1732" s="563"/>
      <c r="H1732" s="563"/>
      <c r="I1732" s="205"/>
      <c r="J1732" s="202"/>
      <c r="K1732" s="388"/>
    </row>
    <row r="1733" spans="1:11" ht="15" customHeight="1" x14ac:dyDescent="0.25">
      <c r="A1733" s="563" t="s">
        <v>3561</v>
      </c>
      <c r="B1733" s="564"/>
      <c r="C1733" s="563" t="s">
        <v>3562</v>
      </c>
      <c r="D1733" s="563"/>
      <c r="E1733" s="563"/>
      <c r="F1733" s="563"/>
      <c r="G1733" s="563"/>
      <c r="H1733" s="563"/>
      <c r="I1733" s="205"/>
      <c r="J1733" s="202"/>
      <c r="K1733" s="388"/>
    </row>
    <row r="1734" spans="1:11" ht="15" customHeight="1" x14ac:dyDescent="0.25">
      <c r="A1734" s="563">
        <v>1</v>
      </c>
      <c r="B1734" s="564"/>
      <c r="C1734" s="239" t="s">
        <v>3563</v>
      </c>
      <c r="D1734" s="239"/>
      <c r="E1734" s="133"/>
      <c r="F1734" s="406"/>
      <c r="G1734" s="406"/>
      <c r="H1734" s="406"/>
      <c r="I1734" s="205"/>
      <c r="J1734" s="202"/>
      <c r="K1734" s="388"/>
    </row>
    <row r="1735" spans="1:11" ht="15" customHeight="1" x14ac:dyDescent="0.25">
      <c r="A1735" s="242"/>
      <c r="B1735" s="243" t="s">
        <v>3564</v>
      </c>
      <c r="C1735" s="244" t="s">
        <v>3565</v>
      </c>
      <c r="D1735" s="244"/>
      <c r="E1735" s="107">
        <f>E1731+1</f>
        <v>1606</v>
      </c>
      <c r="F1735" s="433"/>
      <c r="G1735" s="243" t="s">
        <v>1048</v>
      </c>
      <c r="H1735" s="243">
        <f>H723</f>
        <v>3</v>
      </c>
      <c r="I1735" s="206"/>
      <c r="J1735" s="202" t="s">
        <v>3566</v>
      </c>
      <c r="K1735" s="388"/>
    </row>
    <row r="1736" spans="1:11" ht="15" customHeight="1" x14ac:dyDescent="0.25">
      <c r="A1736" s="242"/>
      <c r="B1736" s="243" t="s">
        <v>3567</v>
      </c>
      <c r="C1736" s="244" t="s">
        <v>3568</v>
      </c>
      <c r="D1736" s="243" t="s">
        <v>3569</v>
      </c>
      <c r="E1736" s="107">
        <f t="shared" ref="E1736:E1745" si="153">E1735+1</f>
        <v>1607</v>
      </c>
      <c r="F1736" s="433"/>
      <c r="G1736" s="243" t="s">
        <v>45</v>
      </c>
      <c r="H1736" s="243">
        <f>IF(LEN(H1735)=0,"Isi Jumlah PAUD",IF(H1735=0,1,IF(H1735=1,2,IF(H1735=2,3,IF(OR(H1735=3,H1735=4),4,5)))))</f>
        <v>4</v>
      </c>
      <c r="I1736" s="206"/>
      <c r="J1736" s="202"/>
      <c r="K1736" s="388"/>
    </row>
    <row r="1737" spans="1:11" ht="15" customHeight="1" x14ac:dyDescent="0.25">
      <c r="A1737" s="240"/>
      <c r="B1737" s="241" t="s">
        <v>3570</v>
      </c>
      <c r="C1737" s="215" t="s">
        <v>3571</v>
      </c>
      <c r="D1737" s="215"/>
      <c r="E1737" s="107">
        <f t="shared" si="153"/>
        <v>1608</v>
      </c>
      <c r="F1737" s="407"/>
      <c r="G1737" s="408" t="s">
        <v>45</v>
      </c>
      <c r="H1737" s="409" t="s">
        <v>243</v>
      </c>
      <c r="I1737" s="207"/>
      <c r="J1737" s="202"/>
      <c r="K1737" s="388"/>
    </row>
    <row r="1738" spans="1:11" ht="30" customHeight="1" x14ac:dyDescent="0.25">
      <c r="A1738" s="242"/>
      <c r="B1738" s="243" t="s">
        <v>3572</v>
      </c>
      <c r="C1738" s="244" t="s">
        <v>3573</v>
      </c>
      <c r="D1738" s="244"/>
      <c r="E1738" s="107">
        <f t="shared" si="153"/>
        <v>1609</v>
      </c>
      <c r="F1738" s="433"/>
      <c r="G1738" s="243" t="s">
        <v>3574</v>
      </c>
      <c r="H1738" s="382">
        <f>H710/1000</f>
        <v>0.5</v>
      </c>
      <c r="I1738" s="207"/>
      <c r="J1738" s="202" t="s">
        <v>3575</v>
      </c>
      <c r="K1738" s="388"/>
    </row>
    <row r="1739" spans="1:11" ht="30" customHeight="1" x14ac:dyDescent="0.25">
      <c r="A1739" s="242"/>
      <c r="B1739" s="243" t="s">
        <v>3576</v>
      </c>
      <c r="C1739" s="244" t="s">
        <v>3577</v>
      </c>
      <c r="D1739" s="244"/>
      <c r="E1739" s="107">
        <f t="shared" si="153"/>
        <v>1610</v>
      </c>
      <c r="F1739" s="433"/>
      <c r="G1739" s="243" t="s">
        <v>3578</v>
      </c>
      <c r="H1739" s="243">
        <f>H711</f>
        <v>1</v>
      </c>
      <c r="I1739" s="207"/>
      <c r="J1739" s="202" t="s">
        <v>3579</v>
      </c>
      <c r="K1739" s="388"/>
    </row>
    <row r="1740" spans="1:11" ht="30" customHeight="1" x14ac:dyDescent="0.25">
      <c r="A1740" s="240"/>
      <c r="B1740" s="241" t="s">
        <v>3580</v>
      </c>
      <c r="C1740" s="215" t="s">
        <v>3581</v>
      </c>
      <c r="D1740" s="215"/>
      <c r="E1740" s="107">
        <f t="shared" si="153"/>
        <v>1611</v>
      </c>
      <c r="F1740" s="407"/>
      <c r="G1740" s="408" t="s">
        <v>45</v>
      </c>
      <c r="H1740" s="409" t="s">
        <v>148</v>
      </c>
      <c r="I1740" s="207"/>
      <c r="J1740" s="202"/>
      <c r="K1740" s="388"/>
    </row>
    <row r="1741" spans="1:11" ht="30" customHeight="1" x14ac:dyDescent="0.25">
      <c r="A1741" s="242"/>
      <c r="B1741" s="243" t="s">
        <v>3582</v>
      </c>
      <c r="C1741" s="244" t="s">
        <v>3583</v>
      </c>
      <c r="D1741" s="243" t="s">
        <v>3569</v>
      </c>
      <c r="E1741" s="107">
        <f t="shared" si="153"/>
        <v>1612</v>
      </c>
      <c r="F1741" s="433"/>
      <c r="G1741" s="243" t="s">
        <v>45</v>
      </c>
      <c r="H1741" s="243">
        <f>IF(AND(H1738&lt;2,H1739&gt;=10,H1739&lt;30,H1740="Tidak Ada"),4,IF(AND(H1738&lt;2,H1739&gt;=30,H1740="Tidak Ada"),3,
IF(AND(H1738&gt;=2,H1738&lt;9,H1739&lt;10,OR(H1740="ada",H1740="Tidak Ada")),4,IF(AND(H1738&gt;=2,H1738&lt;9,H1739&gt;=10,H1740="Ada"),3,IF(AND(H1738&gt;=2,H1738&lt;9,H1739&gt;=10,H1740="Tidak Ada"),2,
IF(AND(H1738&gt;=9,H1739&lt;10,H1740="Ada"),4,IF(AND(H1738&gt;=9,H1739&lt;10,H1740="Tidak Ada"),2,IF(AND(H1738&gt;=9,H1739&gt;=10,H1739&lt;30,H1740="Ada"),2,IF(AND(H1738&gt;=9,H1739&gt;=10,H1739&lt;30,H1740="Tidak Ada"),1,IF(AND(H1738&gt;=9,H1739&lt;=30,OR(H1740="Tidak Ada",H1740="Ada")),1,5))))))))))</f>
        <v>5</v>
      </c>
      <c r="I1741" s="206"/>
      <c r="J1741" s="202"/>
      <c r="K1741" s="388"/>
    </row>
    <row r="1742" spans="1:11" ht="30" customHeight="1" x14ac:dyDescent="0.25">
      <c r="A1742" s="240"/>
      <c r="B1742" s="241" t="s">
        <v>3584</v>
      </c>
      <c r="C1742" s="215" t="s">
        <v>3585</v>
      </c>
      <c r="D1742" s="215"/>
      <c r="E1742" s="107">
        <f t="shared" si="153"/>
        <v>1613</v>
      </c>
      <c r="F1742" s="407"/>
      <c r="G1742" s="408" t="s">
        <v>33</v>
      </c>
      <c r="H1742" s="409">
        <v>0</v>
      </c>
      <c r="I1742" s="207"/>
      <c r="J1742" s="202"/>
      <c r="K1742" s="388"/>
    </row>
    <row r="1743" spans="1:11" ht="15" customHeight="1" x14ac:dyDescent="0.25">
      <c r="A1743" s="243"/>
      <c r="B1743" s="243" t="s">
        <v>3586</v>
      </c>
      <c r="C1743" s="244" t="s">
        <v>3587</v>
      </c>
      <c r="D1743" s="244"/>
      <c r="E1743" s="107">
        <f t="shared" si="153"/>
        <v>1614</v>
      </c>
      <c r="F1743" s="433"/>
      <c r="G1743" s="243" t="s">
        <v>3588</v>
      </c>
      <c r="H1743" s="383">
        <f>H504</f>
        <v>177</v>
      </c>
      <c r="I1743" s="207"/>
      <c r="J1743" s="199" t="s">
        <v>3589</v>
      </c>
      <c r="K1743" s="388"/>
    </row>
    <row r="1744" spans="1:11" ht="30" customHeight="1" x14ac:dyDescent="0.25">
      <c r="A1744" s="241"/>
      <c r="B1744" s="241" t="s">
        <v>3590</v>
      </c>
      <c r="C1744" s="215" t="s">
        <v>3591</v>
      </c>
      <c r="D1744" s="215"/>
      <c r="E1744" s="107">
        <f t="shared" si="153"/>
        <v>1615</v>
      </c>
      <c r="F1744" s="392"/>
      <c r="G1744" s="408" t="s">
        <v>3588</v>
      </c>
      <c r="H1744" s="409">
        <v>177</v>
      </c>
      <c r="I1744" s="207"/>
      <c r="J1744" s="199" t="s">
        <v>3592</v>
      </c>
      <c r="K1744" s="388"/>
    </row>
    <row r="1745" spans="1:11" ht="30" customHeight="1" x14ac:dyDescent="0.25">
      <c r="A1745" s="243"/>
      <c r="B1745" s="243" t="s">
        <v>3593</v>
      </c>
      <c r="C1745" s="244" t="s">
        <v>3594</v>
      </c>
      <c r="D1745" s="243" t="s">
        <v>3595</v>
      </c>
      <c r="E1745" s="107">
        <f t="shared" si="153"/>
        <v>1616</v>
      </c>
      <c r="F1745" s="433"/>
      <c r="G1745" s="245">
        <f>SUM(H1744/H1743)</f>
        <v>1</v>
      </c>
      <c r="H1745" s="243">
        <f>IF(G1745&lt;=20%,1,
IF(AND(G1745&gt;20%,G1745&lt;=40%),2,
IF(AND(G1745&gt;40%,G1745&lt;=60%),3,
IF(AND(G1745&gt;60%,G1745&lt;=80%),4,
IF(AND(G1745&gt;80%,G1745&lt;=100%),5,"Tidak Teridentifikasi")))))</f>
        <v>5</v>
      </c>
      <c r="I1745" s="475" t="s">
        <v>3596</v>
      </c>
      <c r="J1745" s="202"/>
      <c r="K1745" s="388"/>
    </row>
    <row r="1746" spans="1:11" ht="15" customHeight="1" x14ac:dyDescent="0.25">
      <c r="A1746" s="563">
        <v>2</v>
      </c>
      <c r="B1746" s="564"/>
      <c r="C1746" s="354" t="s">
        <v>3597</v>
      </c>
      <c r="D1746" s="354"/>
      <c r="E1746" s="133"/>
      <c r="F1746" s="408"/>
      <c r="G1746" s="408"/>
      <c r="H1746" s="408"/>
      <c r="I1746" s="208"/>
      <c r="J1746" s="199"/>
      <c r="K1746" s="388"/>
    </row>
    <row r="1747" spans="1:11" ht="15" customHeight="1" x14ac:dyDescent="0.25">
      <c r="A1747" s="243"/>
      <c r="B1747" s="243" t="s">
        <v>3564</v>
      </c>
      <c r="C1747" s="244" t="s">
        <v>3598</v>
      </c>
      <c r="D1747" s="244"/>
      <c r="E1747" s="107">
        <f>E1745+1</f>
        <v>1617</v>
      </c>
      <c r="F1747" s="433"/>
      <c r="G1747" s="243" t="s">
        <v>1048</v>
      </c>
      <c r="H1747" s="243">
        <f>H673</f>
        <v>5</v>
      </c>
      <c r="I1747" s="206"/>
      <c r="J1747" s="199" t="s">
        <v>3599</v>
      </c>
      <c r="K1747" s="388"/>
    </row>
    <row r="1748" spans="1:11" ht="15" customHeight="1" x14ac:dyDescent="0.25">
      <c r="A1748" s="243"/>
      <c r="B1748" s="243" t="s">
        <v>3567</v>
      </c>
      <c r="C1748" s="244" t="s">
        <v>3600</v>
      </c>
      <c r="D1748" s="243" t="s">
        <v>3595</v>
      </c>
      <c r="E1748" s="107">
        <f t="shared" ref="E1748:E1757" si="154">E1747+1</f>
        <v>1618</v>
      </c>
      <c r="F1748" s="433"/>
      <c r="G1748" s="243" t="s">
        <v>45</v>
      </c>
      <c r="H1748" s="243">
        <f>IF(H1747=0,1,IF(H1747=1,2,IF(H1747=2,3,IF(H1747=3,4,5))))</f>
        <v>5</v>
      </c>
      <c r="I1748" s="206"/>
      <c r="J1748" s="202"/>
      <c r="K1748" s="388"/>
    </row>
    <row r="1749" spans="1:11" ht="15" customHeight="1" x14ac:dyDescent="0.25">
      <c r="A1749" s="240"/>
      <c r="B1749" s="241" t="s">
        <v>3570</v>
      </c>
      <c r="C1749" s="215" t="s">
        <v>3601</v>
      </c>
      <c r="D1749" s="215"/>
      <c r="E1749" s="107">
        <f t="shared" si="154"/>
        <v>1619</v>
      </c>
      <c r="F1749" s="407" t="s">
        <v>47</v>
      </c>
      <c r="G1749" s="408" t="s">
        <v>33</v>
      </c>
      <c r="H1749" s="409" t="s">
        <v>148</v>
      </c>
      <c r="I1749" s="207"/>
      <c r="J1749" s="202"/>
      <c r="K1749" s="388"/>
    </row>
    <row r="1750" spans="1:11" ht="15" customHeight="1" x14ac:dyDescent="0.25">
      <c r="A1750" s="242"/>
      <c r="B1750" s="243" t="s">
        <v>3572</v>
      </c>
      <c r="C1750" s="244" t="s">
        <v>3602</v>
      </c>
      <c r="D1750" s="244"/>
      <c r="E1750" s="107">
        <f t="shared" si="154"/>
        <v>1620</v>
      </c>
      <c r="F1750" s="433"/>
      <c r="G1750" s="243" t="s">
        <v>3574</v>
      </c>
      <c r="H1750" s="382">
        <f>H675/1000</f>
        <v>0.14000000000000001</v>
      </c>
      <c r="I1750" s="207"/>
      <c r="J1750" s="199" t="s">
        <v>3603</v>
      </c>
      <c r="K1750" s="388"/>
    </row>
    <row r="1751" spans="1:11" ht="30" customHeight="1" x14ac:dyDescent="0.25">
      <c r="A1751" s="242"/>
      <c r="B1751" s="243" t="s">
        <v>3576</v>
      </c>
      <c r="C1751" s="244" t="s">
        <v>3604</v>
      </c>
      <c r="D1751" s="244"/>
      <c r="E1751" s="107">
        <f t="shared" si="154"/>
        <v>1621</v>
      </c>
      <c r="F1751" s="433"/>
      <c r="G1751" s="243" t="s">
        <v>3578</v>
      </c>
      <c r="H1751" s="384">
        <f>H676</f>
        <v>1</v>
      </c>
      <c r="I1751" s="207"/>
      <c r="J1751" s="199" t="s">
        <v>3605</v>
      </c>
      <c r="K1751" s="388"/>
    </row>
    <row r="1752" spans="1:11" ht="30" customHeight="1" x14ac:dyDescent="0.25">
      <c r="A1752" s="240"/>
      <c r="B1752" s="241" t="s">
        <v>3580</v>
      </c>
      <c r="C1752" s="215" t="s">
        <v>3606</v>
      </c>
      <c r="D1752" s="215"/>
      <c r="E1752" s="107">
        <f t="shared" si="154"/>
        <v>1622</v>
      </c>
      <c r="F1752" s="407" t="s">
        <v>47</v>
      </c>
      <c r="G1752" s="408" t="s">
        <v>45</v>
      </c>
      <c r="H1752" s="409" t="s">
        <v>148</v>
      </c>
      <c r="I1752" s="207"/>
      <c r="J1752" s="202"/>
      <c r="K1752" s="388"/>
    </row>
    <row r="1753" spans="1:11" ht="30" customHeight="1" x14ac:dyDescent="0.25">
      <c r="A1753" s="242"/>
      <c r="B1753" s="243" t="s">
        <v>3582</v>
      </c>
      <c r="C1753" s="244" t="s">
        <v>3607</v>
      </c>
      <c r="D1753" s="243" t="s">
        <v>3595</v>
      </c>
      <c r="E1753" s="107">
        <f t="shared" si="154"/>
        <v>1623</v>
      </c>
      <c r="F1753" s="433"/>
      <c r="G1753" s="243" t="s">
        <v>45</v>
      </c>
      <c r="H1753" s="243">
        <f>IF(AND(H1750&lt;=3,H1751&gt;5,H1751&lt;=30,H1752="Tidak Ada"),4,IF(AND(H1750&lt;=3,H1751&gt;30,H1752="Tidak Ada"),3,
IF(AND(H1750&gt;3,H1750&lt;=5,H1751&lt;=5,OR(H1752="ada",H1752="Tidak Ada")),4,IF(AND(H1750&gt;3,H1750&lt;=5,H1751&gt;5,H1751&lt;=30,H1752="Ada"),3,IF(AND(H1750&gt;3,H1750&lt;=5,H1751&gt;5,H1751&lt;=30,H1752="Tidak Ada"),2,IF(AND(H1750&gt;3,H1750&lt;=5,H1751&gt;30,H1752="Ada"),3,IF(AND(H1750&gt;3,H1750&lt;=5,H1751&gt;30,H1752="Tidak Ada"),2,
IF(AND(H1750&gt;5,H1751&lt;=5,H1752="Ada"),4,IF(AND(H1750&gt;5,H1751&lt;=5,H1752="Tidak Ada"),2,IF(AND(H1750&gt;5,H1751&gt;5,H1751&lt;=30,H1752="Ada"),2,IF(AND(H1750&gt;5,H1751&gt;5,H1751&lt;=30,H1752="Tidak Ada"),1,IF(AND(H1750&gt;5,H1751&gt;30,OR(H1752="Ada",H1752="Tidak Ada")),1,5))))))))))))</f>
        <v>5</v>
      </c>
      <c r="I1753" s="206"/>
      <c r="J1753" s="202"/>
      <c r="K1753" s="388"/>
    </row>
    <row r="1754" spans="1:11" ht="30" customHeight="1" x14ac:dyDescent="0.25">
      <c r="A1754" s="240"/>
      <c r="B1754" s="241" t="s">
        <v>3584</v>
      </c>
      <c r="C1754" s="215" t="s">
        <v>3608</v>
      </c>
      <c r="D1754" s="215"/>
      <c r="E1754" s="107">
        <f t="shared" si="154"/>
        <v>1624</v>
      </c>
      <c r="F1754" s="407" t="s">
        <v>47</v>
      </c>
      <c r="G1754" s="408" t="s">
        <v>33</v>
      </c>
      <c r="H1754" s="409">
        <v>0</v>
      </c>
      <c r="I1754" s="207"/>
      <c r="J1754" s="202"/>
      <c r="K1754" s="388"/>
    </row>
    <row r="1755" spans="1:11" ht="15" customHeight="1" x14ac:dyDescent="0.25">
      <c r="A1755" s="243"/>
      <c r="B1755" s="243" t="s">
        <v>3586</v>
      </c>
      <c r="C1755" s="244" t="s">
        <v>3609</v>
      </c>
      <c r="D1755" s="244"/>
      <c r="E1755" s="107">
        <f t="shared" si="154"/>
        <v>1625</v>
      </c>
      <c r="F1755" s="433"/>
      <c r="G1755" s="243" t="s">
        <v>3588</v>
      </c>
      <c r="H1755" s="384">
        <f>H505</f>
        <v>417</v>
      </c>
      <c r="I1755" s="207"/>
      <c r="J1755" s="199" t="s">
        <v>3610</v>
      </c>
      <c r="K1755" s="388"/>
    </row>
    <row r="1756" spans="1:11" ht="30" customHeight="1" x14ac:dyDescent="0.25">
      <c r="A1756" s="241"/>
      <c r="B1756" s="241" t="s">
        <v>3590</v>
      </c>
      <c r="C1756" s="215" t="s">
        <v>3611</v>
      </c>
      <c r="D1756" s="215"/>
      <c r="E1756" s="107">
        <f t="shared" si="154"/>
        <v>1626</v>
      </c>
      <c r="F1756" s="392"/>
      <c r="G1756" s="408" t="s">
        <v>3588</v>
      </c>
      <c r="H1756" s="410">
        <v>417</v>
      </c>
      <c r="I1756" s="207"/>
      <c r="J1756" s="199" t="s">
        <v>3612</v>
      </c>
      <c r="K1756" s="388"/>
    </row>
    <row r="1757" spans="1:11" ht="30" customHeight="1" x14ac:dyDescent="0.25">
      <c r="A1757" s="243"/>
      <c r="B1757" s="243" t="s">
        <v>3593</v>
      </c>
      <c r="C1757" s="244" t="s">
        <v>3613</v>
      </c>
      <c r="D1757" s="243" t="s">
        <v>3595</v>
      </c>
      <c r="E1757" s="107">
        <f t="shared" si="154"/>
        <v>1627</v>
      </c>
      <c r="F1757" s="433"/>
      <c r="G1757" s="245">
        <f>SUM(H1756/H1755)</f>
        <v>1</v>
      </c>
      <c r="H1757" s="243">
        <f>IF(G1757&lt;=20%,1,
IF(AND(G1757&gt;20%,G1757&lt;=40%),2,
IF(AND(G1757&gt;40%,G1757&lt;=60%),3,
IF(AND(G1757&gt;60%,G1757&lt;=80%),4,
IF(AND(G1757&gt;80%,G1757&lt;=100%),5,"Tidak Teridentifikasi")))))</f>
        <v>5</v>
      </c>
      <c r="I1757" s="475" t="s">
        <v>3596</v>
      </c>
      <c r="J1757" s="202"/>
      <c r="K1757" s="388"/>
    </row>
    <row r="1758" spans="1:11" ht="15" customHeight="1" x14ac:dyDescent="0.25">
      <c r="A1758" s="563">
        <v>3</v>
      </c>
      <c r="B1758" s="564"/>
      <c r="C1758" s="354" t="s">
        <v>3614</v>
      </c>
      <c r="D1758" s="354"/>
      <c r="E1758" s="133"/>
      <c r="F1758" s="408"/>
      <c r="G1758" s="408"/>
      <c r="H1758" s="408"/>
      <c r="I1758" s="205"/>
      <c r="J1758" s="199"/>
      <c r="K1758" s="388"/>
    </row>
    <row r="1759" spans="1:11" ht="15" customHeight="1" x14ac:dyDescent="0.25">
      <c r="A1759" s="243"/>
      <c r="B1759" s="243" t="s">
        <v>3564</v>
      </c>
      <c r="C1759" s="244" t="s">
        <v>3615</v>
      </c>
      <c r="D1759" s="244"/>
      <c r="E1759" s="107">
        <f>E1757+1</f>
        <v>1628</v>
      </c>
      <c r="F1759" s="433"/>
      <c r="G1759" s="454" t="s">
        <v>1048</v>
      </c>
      <c r="H1759" s="454">
        <f>H678</f>
        <v>1</v>
      </c>
      <c r="I1759" s="206" t="s">
        <v>3616</v>
      </c>
      <c r="J1759" s="199" t="s">
        <v>3617</v>
      </c>
      <c r="K1759" s="388"/>
    </row>
    <row r="1760" spans="1:11" ht="15" customHeight="1" x14ac:dyDescent="0.25">
      <c r="A1760" s="243"/>
      <c r="B1760" s="243" t="s">
        <v>3567</v>
      </c>
      <c r="C1760" s="244" t="s">
        <v>3618</v>
      </c>
      <c r="D1760" s="243" t="s">
        <v>3595</v>
      </c>
      <c r="E1760" s="107">
        <f t="shared" ref="E1760:E1769" si="155">E1759+1</f>
        <v>1629</v>
      </c>
      <c r="F1760" s="433"/>
      <c r="G1760" s="454" t="s">
        <v>45</v>
      </c>
      <c r="H1760" s="454">
        <f>IF(H1759=0,1,5)</f>
        <v>5</v>
      </c>
      <c r="I1760" s="206"/>
      <c r="J1760" s="202"/>
      <c r="K1760" s="388"/>
    </row>
    <row r="1761" spans="1:11" ht="15" customHeight="1" x14ac:dyDescent="0.25">
      <c r="A1761" s="240"/>
      <c r="B1761" s="241" t="s">
        <v>3570</v>
      </c>
      <c r="C1761" s="215" t="s">
        <v>3619</v>
      </c>
      <c r="D1761" s="215"/>
      <c r="E1761" s="107">
        <f t="shared" si="155"/>
        <v>1630</v>
      </c>
      <c r="F1761" s="407" t="s">
        <v>47</v>
      </c>
      <c r="G1761" s="408" t="s">
        <v>33</v>
      </c>
      <c r="H1761" s="409" t="s">
        <v>148</v>
      </c>
      <c r="I1761" s="207"/>
      <c r="J1761" s="202"/>
      <c r="K1761" s="388"/>
    </row>
    <row r="1762" spans="1:11" ht="30" customHeight="1" x14ac:dyDescent="0.25">
      <c r="A1762" s="242"/>
      <c r="B1762" s="243" t="s">
        <v>3572</v>
      </c>
      <c r="C1762" s="244" t="s">
        <v>3620</v>
      </c>
      <c r="D1762" s="244"/>
      <c r="E1762" s="107">
        <f t="shared" si="155"/>
        <v>1631</v>
      </c>
      <c r="F1762" s="433"/>
      <c r="G1762" s="243" t="s">
        <v>3574</v>
      </c>
      <c r="H1762" s="382">
        <f>H680/1000</f>
        <v>7</v>
      </c>
      <c r="I1762" s="207"/>
      <c r="J1762" s="199" t="s">
        <v>3621</v>
      </c>
      <c r="K1762" s="388"/>
    </row>
    <row r="1763" spans="1:11" ht="30" customHeight="1" x14ac:dyDescent="0.25">
      <c r="A1763" s="242"/>
      <c r="B1763" s="243" t="s">
        <v>3576</v>
      </c>
      <c r="C1763" s="244" t="s">
        <v>3622</v>
      </c>
      <c r="D1763" s="244"/>
      <c r="E1763" s="107">
        <f t="shared" si="155"/>
        <v>1632</v>
      </c>
      <c r="F1763" s="433"/>
      <c r="G1763" s="243" t="s">
        <v>3578</v>
      </c>
      <c r="H1763" s="384">
        <f>H681</f>
        <v>40</v>
      </c>
      <c r="I1763" s="207"/>
      <c r="J1763" s="199" t="s">
        <v>3623</v>
      </c>
      <c r="K1763" s="388"/>
    </row>
    <row r="1764" spans="1:11" ht="30" customHeight="1" x14ac:dyDescent="0.25">
      <c r="A1764" s="240"/>
      <c r="B1764" s="241" t="s">
        <v>3580</v>
      </c>
      <c r="C1764" s="215" t="s">
        <v>3624</v>
      </c>
      <c r="D1764" s="215"/>
      <c r="E1764" s="107">
        <f t="shared" si="155"/>
        <v>1633</v>
      </c>
      <c r="F1764" s="407" t="s">
        <v>47</v>
      </c>
      <c r="G1764" s="408" t="s">
        <v>45</v>
      </c>
      <c r="H1764" s="409" t="s">
        <v>148</v>
      </c>
      <c r="I1764" s="207"/>
      <c r="J1764" s="202"/>
      <c r="K1764" s="388"/>
    </row>
    <row r="1765" spans="1:11" ht="30" customHeight="1" x14ac:dyDescent="0.25">
      <c r="A1765" s="242"/>
      <c r="B1765" s="243" t="s">
        <v>3582</v>
      </c>
      <c r="C1765" s="244" t="s">
        <v>3625</v>
      </c>
      <c r="D1765" s="243" t="s">
        <v>3595</v>
      </c>
      <c r="E1765" s="107">
        <f t="shared" si="155"/>
        <v>1634</v>
      </c>
      <c r="F1765" s="433"/>
      <c r="G1765" s="243" t="s">
        <v>45</v>
      </c>
      <c r="H1765" s="243">
        <f>IF(AND(H1762&lt;=2,H1763&gt;5,H1763&lt;=30,H1764="Tidak Ada"),4,IF(AND(H1762&lt;=2,H1763&gt;30,H1764="Tidak Ada"),3,
IF(AND(H1762&gt;2,H1762&lt;=4,H1763&gt;=5,OR(H1764="Ada",H1764="Tidak Ada")),4,IF(AND(H1762&gt;2,H1762&lt;=4,H1763&gt;5,H1763&lt;=30,H1764="Ada"),3,IF(AND(H1762&gt;2,H1762&lt;=4,H1763&gt;5,H1763&lt;=30,H1764="Tidak Ada"),2,IF(AND(H1762&gt;2,H1762&lt;=4,H1763&gt;30,H1764="Ada"),3,IF(AND(H1762&gt;2,H1762&lt;=4,H1763&gt;30,H1764="Ada"),2,
IF(AND(H1762&gt;4,H1763&lt;=5,H1764="Ada"),4,IF(AND(H1762&gt;4,H1763&lt;=5,H1764="Tidak Ada"),2,IF(AND(H1762&gt;4,H1763&gt;5,H1763&lt;=30,H1764="Ada"),2,IF(AND(H1762&gt;4,H1763&gt;5,H1763&lt;=30,H1764="Tidak Ada"),1,IF(AND(H1762&gt;4,H1763&gt;30,OR(H1764="Ada",H1764="Tidak Ada")),1,5))))))))))))</f>
        <v>1</v>
      </c>
      <c r="I1765" s="206"/>
      <c r="J1765" s="202"/>
      <c r="K1765" s="388"/>
    </row>
    <row r="1766" spans="1:11" ht="30" customHeight="1" x14ac:dyDescent="0.25">
      <c r="A1766" s="240"/>
      <c r="B1766" s="241" t="s">
        <v>3584</v>
      </c>
      <c r="C1766" s="215" t="s">
        <v>3626</v>
      </c>
      <c r="D1766" s="215"/>
      <c r="E1766" s="107">
        <f t="shared" si="155"/>
        <v>1635</v>
      </c>
      <c r="F1766" s="407" t="s">
        <v>47</v>
      </c>
      <c r="G1766" s="408" t="s">
        <v>33</v>
      </c>
      <c r="H1766" s="409">
        <v>0</v>
      </c>
      <c r="I1766" s="207"/>
      <c r="J1766" s="202"/>
      <c r="K1766" s="388"/>
    </row>
    <row r="1767" spans="1:11" ht="15" customHeight="1" x14ac:dyDescent="0.25">
      <c r="A1767" s="243"/>
      <c r="B1767" s="243" t="s">
        <v>3586</v>
      </c>
      <c r="C1767" s="244" t="s">
        <v>3627</v>
      </c>
      <c r="D1767" s="244"/>
      <c r="E1767" s="107">
        <f t="shared" si="155"/>
        <v>1636</v>
      </c>
      <c r="F1767" s="433"/>
      <c r="G1767" s="243" t="s">
        <v>3588</v>
      </c>
      <c r="H1767" s="384">
        <f>H506</f>
        <v>214</v>
      </c>
      <c r="I1767" s="207"/>
      <c r="J1767" s="199" t="s">
        <v>3628</v>
      </c>
      <c r="K1767" s="388"/>
    </row>
    <row r="1768" spans="1:11" ht="30" customHeight="1" x14ac:dyDescent="0.25">
      <c r="A1768" s="241"/>
      <c r="B1768" s="241" t="s">
        <v>3590</v>
      </c>
      <c r="C1768" s="215" t="s">
        <v>3629</v>
      </c>
      <c r="D1768" s="215"/>
      <c r="E1768" s="107">
        <f t="shared" si="155"/>
        <v>1637</v>
      </c>
      <c r="F1768" s="392"/>
      <c r="G1768" s="408" t="s">
        <v>3588</v>
      </c>
      <c r="H1768" s="410">
        <v>214</v>
      </c>
      <c r="I1768" s="207"/>
      <c r="J1768" s="199" t="s">
        <v>3630</v>
      </c>
      <c r="K1768" s="388"/>
    </row>
    <row r="1769" spans="1:11" ht="30" customHeight="1" x14ac:dyDescent="0.25">
      <c r="A1769" s="243"/>
      <c r="B1769" s="243" t="s">
        <v>3593</v>
      </c>
      <c r="C1769" s="244" t="s">
        <v>3631</v>
      </c>
      <c r="D1769" s="243" t="s">
        <v>3595</v>
      </c>
      <c r="E1769" s="107">
        <f t="shared" si="155"/>
        <v>1638</v>
      </c>
      <c r="F1769" s="433"/>
      <c r="G1769" s="245">
        <f>SUM(H1768/H1767)</f>
        <v>1</v>
      </c>
      <c r="H1769" s="243">
        <f>IF(G1769&lt;=20%,1,
IF(AND(G1769&gt;20%,G1769&lt;=40%),2,
IF(AND(G1769&gt;40%,G1769&lt;=60%),3,
IF(AND(G1769&gt;60%,G1769&lt;=80%),4,
IF(AND(G1769&gt;80%,G1769&lt;=100%),5,"Tidak Teridentifikasi")))))</f>
        <v>5</v>
      </c>
      <c r="I1769" s="475" t="s">
        <v>3596</v>
      </c>
      <c r="J1769" s="202"/>
      <c r="K1769" s="388"/>
    </row>
    <row r="1770" spans="1:11" ht="15" customHeight="1" x14ac:dyDescent="0.25">
      <c r="A1770" s="563">
        <v>4</v>
      </c>
      <c r="B1770" s="564"/>
      <c r="C1770" s="354" t="s">
        <v>3632</v>
      </c>
      <c r="D1770" s="354"/>
      <c r="E1770" s="133"/>
      <c r="F1770" s="408"/>
      <c r="G1770" s="408"/>
      <c r="H1770" s="408"/>
      <c r="I1770" s="205"/>
      <c r="J1770" s="202"/>
      <c r="K1770" s="388"/>
    </row>
    <row r="1771" spans="1:11" ht="15" customHeight="1" x14ac:dyDescent="0.25">
      <c r="A1771" s="455"/>
      <c r="B1771" s="243" t="s">
        <v>3564</v>
      </c>
      <c r="C1771" s="244" t="s">
        <v>3633</v>
      </c>
      <c r="D1771" s="244"/>
      <c r="E1771" s="107">
        <f>E1769+1</f>
        <v>1639</v>
      </c>
      <c r="F1771" s="433"/>
      <c r="G1771" s="454" t="s">
        <v>1048</v>
      </c>
      <c r="H1771" s="454">
        <f>H683</f>
        <v>0</v>
      </c>
      <c r="I1771" s="206" t="s">
        <v>3634</v>
      </c>
      <c r="J1771" s="199" t="s">
        <v>3635</v>
      </c>
      <c r="K1771" s="388"/>
    </row>
    <row r="1772" spans="1:11" ht="15" customHeight="1" x14ac:dyDescent="0.25">
      <c r="A1772" s="243"/>
      <c r="B1772" s="243" t="s">
        <v>3567</v>
      </c>
      <c r="C1772" s="244" t="s">
        <v>3636</v>
      </c>
      <c r="D1772" s="244"/>
      <c r="E1772" s="107">
        <f t="shared" ref="E1772:E1781" si="156">E1771+1</f>
        <v>1640</v>
      </c>
      <c r="F1772" s="246" t="s">
        <v>47</v>
      </c>
      <c r="G1772" s="243" t="s">
        <v>45</v>
      </c>
      <c r="H1772" s="243">
        <f>IF(H1771=0,1,5)</f>
        <v>1</v>
      </c>
      <c r="I1772" s="206"/>
      <c r="J1772" s="202" t="s">
        <v>3637</v>
      </c>
      <c r="K1772" s="388"/>
    </row>
    <row r="1773" spans="1:11" ht="30" customHeight="1" x14ac:dyDescent="0.25">
      <c r="A1773" s="240"/>
      <c r="B1773" s="241" t="s">
        <v>3570</v>
      </c>
      <c r="C1773" s="215" t="s">
        <v>3638</v>
      </c>
      <c r="D1773" s="215"/>
      <c r="E1773" s="107">
        <f t="shared" si="156"/>
        <v>1641</v>
      </c>
      <c r="F1773" s="407" t="s">
        <v>47</v>
      </c>
      <c r="G1773" s="408" t="s">
        <v>33</v>
      </c>
      <c r="H1773" s="409" t="s">
        <v>64</v>
      </c>
      <c r="I1773" s="207"/>
      <c r="J1773" s="202"/>
      <c r="K1773" s="388"/>
    </row>
    <row r="1774" spans="1:11" ht="30" customHeight="1" x14ac:dyDescent="0.25">
      <c r="A1774" s="242"/>
      <c r="B1774" s="243" t="s">
        <v>3572</v>
      </c>
      <c r="C1774" s="244" t="s">
        <v>3639</v>
      </c>
      <c r="D1774" s="244"/>
      <c r="E1774" s="107">
        <f t="shared" si="156"/>
        <v>1642</v>
      </c>
      <c r="F1774" s="433"/>
      <c r="G1774" s="243" t="s">
        <v>3574</v>
      </c>
      <c r="H1774" s="382">
        <f>H685/1000</f>
        <v>2.5</v>
      </c>
      <c r="I1774" s="207"/>
      <c r="J1774" s="199" t="s">
        <v>3640</v>
      </c>
      <c r="K1774" s="388"/>
    </row>
    <row r="1775" spans="1:11" ht="30" customHeight="1" x14ac:dyDescent="0.25">
      <c r="A1775" s="242"/>
      <c r="B1775" s="243" t="s">
        <v>3576</v>
      </c>
      <c r="C1775" s="244" t="s">
        <v>3641</v>
      </c>
      <c r="D1775" s="244"/>
      <c r="E1775" s="107">
        <f t="shared" si="156"/>
        <v>1643</v>
      </c>
      <c r="F1775" s="433"/>
      <c r="G1775" s="243" t="s">
        <v>3578</v>
      </c>
      <c r="H1775" s="384">
        <f>H686</f>
        <v>4</v>
      </c>
      <c r="I1775" s="207"/>
      <c r="J1775" s="199" t="s">
        <v>3642</v>
      </c>
      <c r="K1775" s="388"/>
    </row>
    <row r="1776" spans="1:11" ht="30" customHeight="1" x14ac:dyDescent="0.25">
      <c r="A1776" s="240"/>
      <c r="B1776" s="241" t="s">
        <v>3580</v>
      </c>
      <c r="C1776" s="215" t="s">
        <v>3624</v>
      </c>
      <c r="D1776" s="215"/>
      <c r="E1776" s="107">
        <f t="shared" si="156"/>
        <v>1644</v>
      </c>
      <c r="F1776" s="407" t="s">
        <v>47</v>
      </c>
      <c r="G1776" s="408" t="s">
        <v>45</v>
      </c>
      <c r="H1776" s="409" t="s">
        <v>148</v>
      </c>
      <c r="I1776" s="207"/>
      <c r="J1776" s="202"/>
      <c r="K1776" s="388"/>
    </row>
    <row r="1777" spans="1:11" ht="30" customHeight="1" x14ac:dyDescent="0.25">
      <c r="A1777" s="242"/>
      <c r="B1777" s="243" t="s">
        <v>3582</v>
      </c>
      <c r="C1777" s="244" t="s">
        <v>3643</v>
      </c>
      <c r="D1777" s="243" t="s">
        <v>3595</v>
      </c>
      <c r="E1777" s="107">
        <f t="shared" si="156"/>
        <v>1645</v>
      </c>
      <c r="F1777" s="433"/>
      <c r="G1777" s="243" t="s">
        <v>45</v>
      </c>
      <c r="H1777" s="243">
        <f>IF(AND(H1774&lt;=3,H1775&gt;5,H1775&lt;=30,H1776="Tidak Ada"),4,IF(AND(H1774&lt;=3,H1775&gt;30,H1776="Tidak Ada"),3,
IF(AND(H1774&gt;3,H1774&lt;=6,H1775&gt;=5,OR(H1776="Ada",H1776="Tidak Ada")),4,IF(AND(H1774&gt;3,H1774&lt;=5,H1775&gt;5,H1775&lt;=30,H1776="Ada"),3,IF(AND(H1774&gt;3,H1774&lt;=5,H1775&gt;5,H1775&lt;=30,H1776="Tidak Ada"),2,IF(AND(H1774&gt;3,H1774&lt;=5,H1775&gt;30,H1776="Ada"),3,IF(AND(H1774&gt;3,H1774&lt;=6,H1775&gt;30,H1776="Ada"),2,
IF(AND(H1774&gt;6,H1775&lt;=5,H1776="Ada"),4,IF(AND(H1774&gt;6,H1775&lt;=5,H1776="Tidak Ada"),2,IF(AND(H1774&gt;6,H1775&gt;5,H1775&lt;=30,H1776="Ada"),2,IF(AND(H1774&gt;6,H1775&gt;5,H1775&lt;=30,H1776="Tidak Ada"),1,IF(AND(H1774&gt;6,H1775&gt;30,OR(H1776="Ada",H1776="Tidak Ada")),1,5))))))))))))</f>
        <v>5</v>
      </c>
      <c r="I1777" s="206"/>
      <c r="J1777" s="202"/>
      <c r="K1777" s="388"/>
    </row>
    <row r="1778" spans="1:11" ht="30" customHeight="1" x14ac:dyDescent="0.25">
      <c r="A1778" s="240"/>
      <c r="B1778" s="241" t="s">
        <v>3584</v>
      </c>
      <c r="C1778" s="215" t="s">
        <v>3644</v>
      </c>
      <c r="D1778" s="215"/>
      <c r="E1778" s="107">
        <f t="shared" si="156"/>
        <v>1646</v>
      </c>
      <c r="F1778" s="407" t="s">
        <v>47</v>
      </c>
      <c r="G1778" s="408" t="s">
        <v>33</v>
      </c>
      <c r="H1778" s="409">
        <v>0</v>
      </c>
      <c r="I1778" s="207"/>
      <c r="J1778" s="202"/>
      <c r="K1778" s="388"/>
    </row>
    <row r="1779" spans="1:11" ht="15" customHeight="1" x14ac:dyDescent="0.25">
      <c r="A1779" s="243"/>
      <c r="B1779" s="243" t="s">
        <v>3586</v>
      </c>
      <c r="C1779" s="244" t="s">
        <v>3645</v>
      </c>
      <c r="D1779" s="244"/>
      <c r="E1779" s="107">
        <f t="shared" si="156"/>
        <v>1647</v>
      </c>
      <c r="F1779" s="433"/>
      <c r="G1779" s="243" t="s">
        <v>3588</v>
      </c>
      <c r="H1779" s="384">
        <f>H507</f>
        <v>221</v>
      </c>
      <c r="I1779" s="207"/>
      <c r="J1779" s="199" t="s">
        <v>3646</v>
      </c>
      <c r="K1779" s="388"/>
    </row>
    <row r="1780" spans="1:11" ht="30" customHeight="1" x14ac:dyDescent="0.25">
      <c r="A1780" s="241"/>
      <c r="B1780" s="241" t="s">
        <v>3590</v>
      </c>
      <c r="C1780" s="215" t="s">
        <v>3647</v>
      </c>
      <c r="D1780" s="215"/>
      <c r="E1780" s="107">
        <f t="shared" si="156"/>
        <v>1648</v>
      </c>
      <c r="F1780" s="392"/>
      <c r="G1780" s="408" t="s">
        <v>3588</v>
      </c>
      <c r="H1780" s="410">
        <v>221</v>
      </c>
      <c r="I1780" s="207"/>
      <c r="J1780" s="199" t="s">
        <v>3612</v>
      </c>
      <c r="K1780" s="388"/>
    </row>
    <row r="1781" spans="1:11" ht="30" customHeight="1" x14ac:dyDescent="0.25">
      <c r="A1781" s="243"/>
      <c r="B1781" s="243" t="s">
        <v>3593</v>
      </c>
      <c r="C1781" s="244" t="s">
        <v>3648</v>
      </c>
      <c r="D1781" s="243" t="s">
        <v>3595</v>
      </c>
      <c r="E1781" s="107">
        <f t="shared" si="156"/>
        <v>1649</v>
      </c>
      <c r="F1781" s="433"/>
      <c r="G1781" s="245">
        <f>SUM(H1780/H1779)</f>
        <v>1</v>
      </c>
      <c r="H1781" s="243">
        <f>IF(G1781&lt;=20%,1,
IF(AND(G1781&gt;20%,G1781&lt;=40%),2,
IF(AND(G1781&gt;40%,G1781&lt;=60%),3,
IF(AND(G1781&gt;60%,G1781&lt;=80%),4,
IF(AND(G1781&gt;80%,G1781&lt;=100%),5,"Tidak Teridentifikasi")))))</f>
        <v>5</v>
      </c>
      <c r="I1781" s="475" t="s">
        <v>3596</v>
      </c>
      <c r="J1781" s="202"/>
      <c r="K1781" s="388"/>
    </row>
    <row r="1782" spans="1:11" ht="15" customHeight="1" x14ac:dyDescent="0.25">
      <c r="A1782" s="563"/>
      <c r="B1782" s="564"/>
      <c r="C1782" s="354" t="s">
        <v>3649</v>
      </c>
      <c r="D1782" s="354"/>
      <c r="E1782" s="133"/>
      <c r="F1782" s="408"/>
      <c r="G1782" s="408"/>
      <c r="H1782" s="408"/>
      <c r="I1782" s="203"/>
      <c r="J1782" s="202"/>
      <c r="K1782" s="388"/>
    </row>
    <row r="1783" spans="1:11" ht="15" customHeight="1" x14ac:dyDescent="0.25">
      <c r="A1783" s="209"/>
      <c r="B1783" s="436" t="s">
        <v>3564</v>
      </c>
      <c r="C1783" s="215" t="s">
        <v>3650</v>
      </c>
      <c r="D1783" s="241"/>
      <c r="E1783" s="107">
        <f>E1781+1</f>
        <v>1650</v>
      </c>
      <c r="F1783" s="392"/>
      <c r="G1783" s="408" t="s">
        <v>1435</v>
      </c>
      <c r="H1783" s="409">
        <v>7</v>
      </c>
      <c r="I1783" s="210"/>
      <c r="J1783" s="202" t="s">
        <v>3651</v>
      </c>
      <c r="K1783" s="388"/>
    </row>
    <row r="1784" spans="1:11" ht="15" customHeight="1" x14ac:dyDescent="0.25">
      <c r="A1784" s="209"/>
      <c r="B1784" s="436" t="s">
        <v>3567</v>
      </c>
      <c r="C1784" s="215" t="s">
        <v>3652</v>
      </c>
      <c r="D1784" s="241"/>
      <c r="E1784" s="107">
        <f>E1783+1</f>
        <v>1651</v>
      </c>
      <c r="F1784" s="392"/>
      <c r="G1784" s="408" t="s">
        <v>1435</v>
      </c>
      <c r="H1784" s="409">
        <v>9</v>
      </c>
      <c r="I1784" s="210"/>
      <c r="J1784" s="202" t="s">
        <v>3651</v>
      </c>
      <c r="K1784" s="388"/>
    </row>
    <row r="1785" spans="1:11" ht="30" customHeight="1" x14ac:dyDescent="0.25">
      <c r="A1785" s="241"/>
      <c r="B1785" s="241" t="s">
        <v>3570</v>
      </c>
      <c r="C1785" s="215" t="s">
        <v>3653</v>
      </c>
      <c r="D1785" s="215"/>
      <c r="E1785" s="107">
        <f>E1784+1</f>
        <v>1652</v>
      </c>
      <c r="F1785" s="407" t="s">
        <v>47</v>
      </c>
      <c r="G1785" s="408" t="s">
        <v>45</v>
      </c>
      <c r="H1785" s="409" t="s">
        <v>148</v>
      </c>
      <c r="I1785" s="207"/>
      <c r="J1785" s="202"/>
      <c r="K1785" s="388"/>
    </row>
    <row r="1786" spans="1:11" ht="30" customHeight="1" x14ac:dyDescent="0.25">
      <c r="A1786" s="241"/>
      <c r="B1786" s="241"/>
      <c r="C1786" s="215" t="s">
        <v>3654</v>
      </c>
      <c r="D1786" s="215"/>
      <c r="E1786" s="107">
        <f>E1785+1</f>
        <v>1653</v>
      </c>
      <c r="F1786" s="407" t="s">
        <v>47</v>
      </c>
      <c r="G1786" s="408" t="s">
        <v>33</v>
      </c>
      <c r="H1786" s="409" t="s">
        <v>3655</v>
      </c>
      <c r="I1786" s="203"/>
      <c r="J1786" s="202"/>
      <c r="K1786" s="388"/>
    </row>
    <row r="1787" spans="1:11" ht="45" customHeight="1" x14ac:dyDescent="0.25">
      <c r="A1787" s="241"/>
      <c r="B1787" s="241" t="s">
        <v>3572</v>
      </c>
      <c r="C1787" s="215" t="s">
        <v>3656</v>
      </c>
      <c r="D1787" s="215"/>
      <c r="E1787" s="107">
        <f>E1786+1</f>
        <v>1654</v>
      </c>
      <c r="F1787" s="407" t="s">
        <v>47</v>
      </c>
      <c r="G1787" s="408" t="s">
        <v>45</v>
      </c>
      <c r="H1787" s="409" t="s">
        <v>148</v>
      </c>
      <c r="I1787" s="207"/>
      <c r="J1787" s="202"/>
      <c r="K1787" s="388"/>
    </row>
    <row r="1788" spans="1:11" ht="15" customHeight="1" x14ac:dyDescent="0.25">
      <c r="A1788" s="563" t="s">
        <v>3657</v>
      </c>
      <c r="B1788" s="564"/>
      <c r="C1788" s="239" t="s">
        <v>3658</v>
      </c>
      <c r="D1788" s="239"/>
      <c r="E1788" s="133"/>
      <c r="F1788" s="406"/>
      <c r="G1788" s="406"/>
      <c r="H1788" s="406"/>
      <c r="I1788" s="205"/>
      <c r="J1788" s="202"/>
      <c r="K1788" s="388"/>
    </row>
    <row r="1789" spans="1:11" ht="15" customHeight="1" x14ac:dyDescent="0.25">
      <c r="A1789" s="563">
        <v>5</v>
      </c>
      <c r="B1789" s="564"/>
      <c r="C1789" s="239" t="s">
        <v>3659</v>
      </c>
      <c r="D1789" s="239"/>
      <c r="E1789" s="133"/>
      <c r="F1789" s="406"/>
      <c r="G1789" s="406"/>
      <c r="H1789" s="406"/>
      <c r="I1789" s="205"/>
      <c r="J1789" s="202"/>
      <c r="K1789" s="388"/>
    </row>
    <row r="1790" spans="1:11" ht="15" customHeight="1" x14ac:dyDescent="0.25">
      <c r="A1790" s="240"/>
      <c r="B1790" s="241" t="s">
        <v>3564</v>
      </c>
      <c r="C1790" s="215" t="s">
        <v>3660</v>
      </c>
      <c r="D1790" s="215"/>
      <c r="E1790" s="133"/>
      <c r="F1790" s="408"/>
      <c r="G1790" s="408"/>
      <c r="H1790" s="408"/>
      <c r="I1790" s="207"/>
      <c r="J1790" s="202"/>
      <c r="K1790" s="388"/>
    </row>
    <row r="1791" spans="1:11" ht="15" customHeight="1" x14ac:dyDescent="0.25">
      <c r="A1791" s="240"/>
      <c r="B1791" s="241"/>
      <c r="C1791" s="215" t="s">
        <v>3661</v>
      </c>
      <c r="D1791" s="215"/>
      <c r="E1791" s="107">
        <f>E1787+1</f>
        <v>1655</v>
      </c>
      <c r="F1791" s="407" t="s">
        <v>47</v>
      </c>
      <c r="G1791" s="408" t="s">
        <v>45</v>
      </c>
      <c r="H1791" s="409" t="s">
        <v>3662</v>
      </c>
      <c r="I1791" s="207"/>
      <c r="J1791" s="202"/>
      <c r="K1791" s="388"/>
    </row>
    <row r="1792" spans="1:11" ht="15" customHeight="1" x14ac:dyDescent="0.25">
      <c r="A1792" s="240"/>
      <c r="B1792" s="241"/>
      <c r="C1792" s="215" t="s">
        <v>3663</v>
      </c>
      <c r="D1792" s="215"/>
      <c r="E1792" s="107">
        <f t="shared" ref="E1792:E1802" si="157">E1791+1</f>
        <v>1656</v>
      </c>
      <c r="F1792" s="407" t="s">
        <v>47</v>
      </c>
      <c r="G1792" s="408" t="s">
        <v>45</v>
      </c>
      <c r="H1792" s="409" t="s">
        <v>3662</v>
      </c>
      <c r="I1792" s="207"/>
      <c r="J1792" s="202"/>
      <c r="K1792" s="388"/>
    </row>
    <row r="1793" spans="1:11" ht="15" customHeight="1" x14ac:dyDescent="0.25">
      <c r="A1793" s="240"/>
      <c r="B1793" s="241"/>
      <c r="C1793" s="215" t="s">
        <v>3664</v>
      </c>
      <c r="D1793" s="215"/>
      <c r="E1793" s="107">
        <f t="shared" si="157"/>
        <v>1657</v>
      </c>
      <c r="F1793" s="407" t="s">
        <v>47</v>
      </c>
      <c r="G1793" s="408" t="s">
        <v>45</v>
      </c>
      <c r="H1793" s="409" t="s">
        <v>3662</v>
      </c>
      <c r="I1793" s="207"/>
      <c r="J1793" s="202"/>
      <c r="K1793" s="388"/>
    </row>
    <row r="1794" spans="1:11" ht="15" customHeight="1" x14ac:dyDescent="0.25">
      <c r="A1794" s="240"/>
      <c r="B1794" s="241"/>
      <c r="C1794" s="215" t="s">
        <v>3665</v>
      </c>
      <c r="D1794" s="215"/>
      <c r="E1794" s="107">
        <f t="shared" si="157"/>
        <v>1658</v>
      </c>
      <c r="F1794" s="407" t="s">
        <v>47</v>
      </c>
      <c r="G1794" s="408" t="s">
        <v>45</v>
      </c>
      <c r="H1794" s="409" t="s">
        <v>3662</v>
      </c>
      <c r="I1794" s="207"/>
      <c r="J1794" s="202"/>
      <c r="K1794" s="388"/>
    </row>
    <row r="1795" spans="1:11" ht="15" customHeight="1" x14ac:dyDescent="0.25">
      <c r="A1795" s="240"/>
      <c r="B1795" s="241"/>
      <c r="C1795" s="215" t="s">
        <v>3666</v>
      </c>
      <c r="D1795" s="215"/>
      <c r="E1795" s="107">
        <f t="shared" si="157"/>
        <v>1659</v>
      </c>
      <c r="F1795" s="407" t="s">
        <v>47</v>
      </c>
      <c r="G1795" s="408" t="s">
        <v>45</v>
      </c>
      <c r="H1795" s="409" t="s">
        <v>3662</v>
      </c>
      <c r="I1795" s="207"/>
      <c r="J1795" s="202"/>
      <c r="K1795" s="388"/>
    </row>
    <row r="1796" spans="1:11" ht="15" customHeight="1" x14ac:dyDescent="0.25">
      <c r="A1796" s="240"/>
      <c r="B1796" s="241" t="s">
        <v>3567</v>
      </c>
      <c r="C1796" s="215" t="s">
        <v>3667</v>
      </c>
      <c r="D1796" s="215"/>
      <c r="E1796" s="107">
        <f t="shared" si="157"/>
        <v>1660</v>
      </c>
      <c r="F1796" s="392"/>
      <c r="G1796" s="407" t="s">
        <v>1048</v>
      </c>
      <c r="H1796" s="409">
        <v>6</v>
      </c>
      <c r="I1796" s="207"/>
      <c r="J1796" s="199" t="s">
        <v>1641</v>
      </c>
      <c r="K1796" s="388"/>
    </row>
    <row r="1797" spans="1:11" ht="45" customHeight="1" x14ac:dyDescent="0.25">
      <c r="A1797" s="240"/>
      <c r="B1797" s="241" t="s">
        <v>3570</v>
      </c>
      <c r="C1797" s="215" t="s">
        <v>3668</v>
      </c>
      <c r="D1797" s="215"/>
      <c r="E1797" s="107">
        <f t="shared" si="157"/>
        <v>1661</v>
      </c>
      <c r="F1797" s="407" t="s">
        <v>47</v>
      </c>
      <c r="G1797" s="408" t="s">
        <v>33</v>
      </c>
      <c r="H1797" s="409" t="s">
        <v>3669</v>
      </c>
      <c r="I1797" s="205"/>
      <c r="J1797" s="202"/>
      <c r="K1797" s="388"/>
    </row>
    <row r="1798" spans="1:11" ht="30" customHeight="1" x14ac:dyDescent="0.25">
      <c r="A1798" s="241"/>
      <c r="B1798" s="241" t="s">
        <v>3572</v>
      </c>
      <c r="C1798" s="215" t="s">
        <v>3670</v>
      </c>
      <c r="D1798" s="215"/>
      <c r="E1798" s="107">
        <f t="shared" si="157"/>
        <v>1662</v>
      </c>
      <c r="F1798" s="407" t="s">
        <v>47</v>
      </c>
      <c r="G1798" s="408" t="s">
        <v>33</v>
      </c>
      <c r="H1798" s="409" t="s">
        <v>3671</v>
      </c>
      <c r="I1798" s="207"/>
      <c r="J1798" s="202"/>
      <c r="K1798" s="388"/>
    </row>
    <row r="1799" spans="1:11" ht="15" customHeight="1" x14ac:dyDescent="0.25">
      <c r="A1799" s="240"/>
      <c r="B1799" s="241" t="s">
        <v>3576</v>
      </c>
      <c r="C1799" s="215" t="s">
        <v>3672</v>
      </c>
      <c r="D1799" s="215"/>
      <c r="E1799" s="107">
        <f t="shared" si="157"/>
        <v>1663</v>
      </c>
      <c r="F1799" s="392"/>
      <c r="G1799" s="408" t="s">
        <v>3574</v>
      </c>
      <c r="H1799" s="476">
        <v>0.2</v>
      </c>
      <c r="I1799" s="206"/>
      <c r="J1799" s="199" t="s">
        <v>1423</v>
      </c>
      <c r="K1799" s="388"/>
    </row>
    <row r="1800" spans="1:11" ht="30" customHeight="1" x14ac:dyDescent="0.25">
      <c r="A1800" s="240"/>
      <c r="B1800" s="241" t="s">
        <v>3580</v>
      </c>
      <c r="C1800" s="215" t="s">
        <v>3673</v>
      </c>
      <c r="D1800" s="215"/>
      <c r="E1800" s="107">
        <f t="shared" si="157"/>
        <v>1664</v>
      </c>
      <c r="F1800" s="392"/>
      <c r="G1800" s="408" t="s">
        <v>3578</v>
      </c>
      <c r="H1800" s="410">
        <v>1</v>
      </c>
      <c r="I1800" s="206"/>
      <c r="J1800" s="199" t="s">
        <v>3674</v>
      </c>
      <c r="K1800" s="388"/>
    </row>
    <row r="1801" spans="1:11" ht="30" customHeight="1" x14ac:dyDescent="0.25">
      <c r="A1801" s="240"/>
      <c r="B1801" s="241" t="s">
        <v>3582</v>
      </c>
      <c r="C1801" s="215" t="s">
        <v>3675</v>
      </c>
      <c r="D1801" s="215"/>
      <c r="E1801" s="107">
        <f t="shared" si="157"/>
        <v>1665</v>
      </c>
      <c r="F1801" s="407" t="s">
        <v>47</v>
      </c>
      <c r="G1801" s="408" t="s">
        <v>45</v>
      </c>
      <c r="H1801" s="409" t="s">
        <v>148</v>
      </c>
      <c r="I1801" s="207"/>
      <c r="J1801" s="202"/>
      <c r="K1801" s="388"/>
    </row>
    <row r="1802" spans="1:11" ht="15" customHeight="1" x14ac:dyDescent="0.25">
      <c r="A1802" s="242"/>
      <c r="B1802" s="243" t="s">
        <v>3584</v>
      </c>
      <c r="C1802" s="244" t="s">
        <v>3676</v>
      </c>
      <c r="D1802" s="243" t="s">
        <v>3595</v>
      </c>
      <c r="E1802" s="107">
        <f t="shared" si="157"/>
        <v>1666</v>
      </c>
      <c r="F1802" s="433"/>
      <c r="G1802" s="243" t="s">
        <v>45</v>
      </c>
      <c r="H1802" s="243">
        <f>IF(AND(H1799&lt;=2,H1800&gt;10,H1800&lt;=30,H1801="Tidak Ada"),4,IF(AND(H1799&lt;=2,H1800&gt;30,H1801="Tidak Ada"),3,
IF(AND(H1799&gt;2,H1799&lt;=4,H1800&lt;=10,OR(H1801="Ada",H1801="Tidak Ada")),4,IF(AND(H1799&gt;2,H1799&lt;=4,H1800&gt;10,H1800&lt;=30,H1801="Ada"),3,IF(AND(H1799&gt;2,H1799&lt;=4,H1800&gt;10,H1800&lt;=30,H1801="Tidak Ada"),2,IF(AND(H1799&gt;2,H1799&lt;=4,H1800&gt;30,H1801="Ada"),3,IF(AND(H1799&gt;2,H1799&lt;=4,H1800&gt;30,H1801="Tidak Ada"),2,
IF(AND(H1799&gt;4,H1800&lt;=10,H1801="Ada"),4,IF(AND(H1799&gt;4,H1800&lt;=10,H1801="Tidak Ada"),2,IF(AND(H1799&gt;4,H1800&gt;10,H1800&lt;=30,H1801="Ada"),2,IF(AND(H1799&gt;4,H1800&gt;10,H1800&lt;=30,H1801="Tidak Ada"),1,IF(AND(H1799&gt;4,H1800&gt;30,OR(H1801="Ada",H1801="Tidak Ada")),1,5))))))))))))</f>
        <v>5</v>
      </c>
      <c r="I1802" s="207" t="s">
        <v>3616</v>
      </c>
      <c r="J1802" s="202"/>
      <c r="K1802" s="388"/>
    </row>
    <row r="1803" spans="1:11" ht="60" customHeight="1" x14ac:dyDescent="0.25">
      <c r="A1803" s="241"/>
      <c r="B1803" s="241" t="s">
        <v>3586</v>
      </c>
      <c r="C1803" s="215" t="s">
        <v>3677</v>
      </c>
      <c r="D1803" s="215"/>
      <c r="E1803" s="133"/>
      <c r="F1803" s="408"/>
      <c r="G1803" s="408"/>
      <c r="H1803" s="408"/>
      <c r="I1803" s="205"/>
      <c r="J1803" s="202"/>
      <c r="K1803" s="388"/>
    </row>
    <row r="1804" spans="1:11" ht="15" customHeight="1" x14ac:dyDescent="0.25">
      <c r="A1804" s="241"/>
      <c r="B1804" s="241"/>
      <c r="C1804" s="215" t="s">
        <v>3678</v>
      </c>
      <c r="D1804" s="215"/>
      <c r="E1804" s="107">
        <f>E1802+1</f>
        <v>1667</v>
      </c>
      <c r="F1804" s="407" t="s">
        <v>47</v>
      </c>
      <c r="G1804" s="408" t="s">
        <v>45</v>
      </c>
      <c r="H1804" s="409" t="s">
        <v>148</v>
      </c>
      <c r="I1804" s="207"/>
      <c r="J1804" s="202"/>
      <c r="K1804" s="388"/>
    </row>
    <row r="1805" spans="1:11" ht="15" customHeight="1" x14ac:dyDescent="0.25">
      <c r="A1805" s="241"/>
      <c r="B1805" s="241"/>
      <c r="C1805" s="215" t="s">
        <v>3679</v>
      </c>
      <c r="D1805" s="215"/>
      <c r="E1805" s="107">
        <f>E1804+1</f>
        <v>1668</v>
      </c>
      <c r="F1805" s="407" t="s">
        <v>47</v>
      </c>
      <c r="G1805" s="408" t="s">
        <v>45</v>
      </c>
      <c r="H1805" s="409" t="s">
        <v>148</v>
      </c>
      <c r="I1805" s="207"/>
      <c r="J1805" s="202"/>
      <c r="K1805" s="388"/>
    </row>
    <row r="1806" spans="1:11" ht="15" customHeight="1" x14ac:dyDescent="0.25">
      <c r="A1806" s="241"/>
      <c r="B1806" s="241"/>
      <c r="C1806" s="215" t="s">
        <v>3680</v>
      </c>
      <c r="D1806" s="215"/>
      <c r="E1806" s="107">
        <f>E1805+1</f>
        <v>1669</v>
      </c>
      <c r="F1806" s="407" t="s">
        <v>47</v>
      </c>
      <c r="G1806" s="408" t="s">
        <v>45</v>
      </c>
      <c r="H1806" s="409" t="s">
        <v>148</v>
      </c>
      <c r="I1806" s="207"/>
      <c r="J1806" s="202"/>
      <c r="K1806" s="388"/>
    </row>
    <row r="1807" spans="1:11" ht="15" customHeight="1" x14ac:dyDescent="0.25">
      <c r="A1807" s="241"/>
      <c r="B1807" s="241"/>
      <c r="C1807" s="215" t="s">
        <v>3681</v>
      </c>
      <c r="D1807" s="215"/>
      <c r="E1807" s="107">
        <f>E1806+1</f>
        <v>1670</v>
      </c>
      <c r="F1807" s="407" t="s">
        <v>47</v>
      </c>
      <c r="G1807" s="408" t="s">
        <v>45</v>
      </c>
      <c r="H1807" s="409" t="s">
        <v>148</v>
      </c>
      <c r="I1807" s="207"/>
      <c r="J1807" s="202"/>
      <c r="K1807" s="388"/>
    </row>
    <row r="1808" spans="1:11" ht="15" customHeight="1" x14ac:dyDescent="0.25">
      <c r="A1808" s="241"/>
      <c r="B1808" s="241"/>
      <c r="C1808" s="215" t="s">
        <v>3682</v>
      </c>
      <c r="D1808" s="215"/>
      <c r="E1808" s="107">
        <f>E1807+1</f>
        <v>1671</v>
      </c>
      <c r="F1808" s="407" t="s">
        <v>47</v>
      </c>
      <c r="G1808" s="408" t="s">
        <v>33</v>
      </c>
      <c r="H1808" s="409" t="s">
        <v>3683</v>
      </c>
      <c r="I1808" s="203"/>
      <c r="J1808" s="202"/>
      <c r="K1808" s="388"/>
    </row>
    <row r="1809" spans="1:11" ht="15" customHeight="1" x14ac:dyDescent="0.25">
      <c r="A1809" s="563">
        <v>6</v>
      </c>
      <c r="B1809" s="564"/>
      <c r="C1809" s="354" t="s">
        <v>3684</v>
      </c>
      <c r="D1809" s="354"/>
      <c r="E1809" s="133"/>
      <c r="F1809" s="408"/>
      <c r="G1809" s="408"/>
      <c r="H1809" s="408"/>
      <c r="I1809" s="205"/>
      <c r="J1809" s="202"/>
      <c r="K1809" s="388"/>
    </row>
    <row r="1810" spans="1:11" ht="30" customHeight="1" x14ac:dyDescent="0.25">
      <c r="A1810" s="241"/>
      <c r="B1810" s="241" t="s">
        <v>3564</v>
      </c>
      <c r="C1810" s="215" t="s">
        <v>3685</v>
      </c>
      <c r="D1810" s="215"/>
      <c r="E1810" s="107">
        <f>E1808+1</f>
        <v>1672</v>
      </c>
      <c r="F1810" s="392"/>
      <c r="G1810" s="407" t="s">
        <v>1048</v>
      </c>
      <c r="H1810" s="411">
        <v>1</v>
      </c>
      <c r="I1810" s="206"/>
      <c r="J1810" s="199" t="s">
        <v>3686</v>
      </c>
      <c r="K1810" s="388" t="s">
        <v>1264</v>
      </c>
    </row>
    <row r="1811" spans="1:11" ht="30" customHeight="1" x14ac:dyDescent="0.25">
      <c r="A1811" s="243"/>
      <c r="B1811" s="243" t="s">
        <v>3567</v>
      </c>
      <c r="C1811" s="244" t="s">
        <v>3687</v>
      </c>
      <c r="D1811" s="246" t="s">
        <v>3595</v>
      </c>
      <c r="E1811" s="107">
        <f>E1810+1</f>
        <v>1673</v>
      </c>
      <c r="F1811" s="433"/>
      <c r="G1811" s="243" t="s">
        <v>45</v>
      </c>
      <c r="H1811" s="243">
        <f>IF(H1810&gt;0,5,1)</f>
        <v>5</v>
      </c>
      <c r="I1811" s="206"/>
      <c r="J1811" s="199"/>
      <c r="K1811" s="388"/>
    </row>
    <row r="1812" spans="1:11" ht="15" customHeight="1" x14ac:dyDescent="0.25">
      <c r="A1812" s="242"/>
      <c r="B1812" s="243" t="s">
        <v>3570</v>
      </c>
      <c r="C1812" s="244" t="s">
        <v>3688</v>
      </c>
      <c r="D1812" s="244"/>
      <c r="E1812" s="107">
        <f>E1811+1</f>
        <v>1674</v>
      </c>
      <c r="F1812" s="433"/>
      <c r="G1812" s="243" t="s">
        <v>1151</v>
      </c>
      <c r="H1812" s="384">
        <f>H596</f>
        <v>8000</v>
      </c>
      <c r="I1812" s="207"/>
      <c r="J1812" s="199" t="s">
        <v>3689</v>
      </c>
      <c r="K1812" s="388"/>
    </row>
    <row r="1813" spans="1:11" ht="30" customHeight="1" x14ac:dyDescent="0.25">
      <c r="A1813" s="242"/>
      <c r="B1813" s="243" t="s">
        <v>3572</v>
      </c>
      <c r="C1813" s="244" t="s">
        <v>3690</v>
      </c>
      <c r="D1813" s="244"/>
      <c r="E1813" s="107">
        <f>E1812+1</f>
        <v>1675</v>
      </c>
      <c r="F1813" s="433"/>
      <c r="G1813" s="243" t="s">
        <v>1155</v>
      </c>
      <c r="H1813" s="384">
        <f>H597</f>
        <v>45</v>
      </c>
      <c r="I1813" s="207"/>
      <c r="J1813" s="199" t="s">
        <v>3691</v>
      </c>
      <c r="K1813" s="388"/>
    </row>
    <row r="1814" spans="1:11" ht="30" customHeight="1" x14ac:dyDescent="0.25">
      <c r="A1814" s="240"/>
      <c r="B1814" s="241" t="s">
        <v>3576</v>
      </c>
      <c r="C1814" s="215" t="s">
        <v>3692</v>
      </c>
      <c r="D1814" s="215"/>
      <c r="E1814" s="107">
        <f>E1813+1</f>
        <v>1676</v>
      </c>
      <c r="F1814" s="407" t="s">
        <v>47</v>
      </c>
      <c r="G1814" s="408" t="s">
        <v>45</v>
      </c>
      <c r="H1814" s="409" t="s">
        <v>148</v>
      </c>
      <c r="I1814" s="207"/>
      <c r="J1814" s="202"/>
      <c r="K1814" s="388"/>
    </row>
    <row r="1815" spans="1:11" ht="30" customHeight="1" x14ac:dyDescent="0.25">
      <c r="A1815" s="242"/>
      <c r="B1815" s="243" t="s">
        <v>3580</v>
      </c>
      <c r="C1815" s="244" t="s">
        <v>3693</v>
      </c>
      <c r="D1815" s="246" t="s">
        <v>3595</v>
      </c>
      <c r="E1815" s="107">
        <f>E1814+1</f>
        <v>1677</v>
      </c>
      <c r="F1815" s="433"/>
      <c r="G1815" s="243" t="s">
        <v>45</v>
      </c>
      <c r="H1815" s="243">
        <f>IF(AND(H1812&lt;=3000,H1813&gt;5,H1813&lt;=30,H1814="Tidak Ada"),4,IF(AND(H1812&lt;=3000,H1813&gt;30,H1814="Tidak Ada"),3,
IF(AND(H1812&gt;3000,H1812&lt;=6000,H1813&gt;=5,OR(H1814="Ada",H1814="Tidak Ada")),4,IF(AND(H1812&gt;3000,H1812&lt;=6000,H1813&gt;5,H1813&lt;=30,H1814="Ada"),3,IF(AND(H1812&gt;3000,H1812&lt;=6000,H1813&gt;5,H1813&lt;=30,H1814="Tidak Ada"),2,IF(AND(H1812&gt;3000,H1812&lt;=6000,H1813&gt;30,H1814="Ada"),3,IF(AND(H1812&gt;3000,H1812&lt;=6000,H1813&gt;30,H1814="Ada"),2,
IF(AND(H1812&gt;6000,H1813&lt;=5,H1814="Ada"),4,IF(AND(H1812&gt;6000,H1813&lt;=5,H1814="Tidak Ada"),2,IF(AND(H1812&gt;6000,H1813&gt;5,H1813&lt;=30,H1814="Ada"),2,IF(AND(H1812&gt;6000,H1813&gt;5,H1813&lt;=30,H1814="Tidak Ada"),1,IF(AND(H1812&gt;6000,H1813&gt;30,OR(H1814="Ada",H1814="Tidak Ada")),1,5))))))))))))</f>
        <v>1</v>
      </c>
      <c r="I1815" s="207"/>
      <c r="J1815" s="432">
        <v>1</v>
      </c>
      <c r="K1815" s="388"/>
    </row>
    <row r="1816" spans="1:11" ht="15" customHeight="1" x14ac:dyDescent="0.25">
      <c r="A1816" s="565">
        <v>7</v>
      </c>
      <c r="B1816" s="566"/>
      <c r="C1816" s="354" t="s">
        <v>3694</v>
      </c>
      <c r="D1816" s="354"/>
      <c r="E1816" s="133"/>
      <c r="F1816" s="233"/>
      <c r="G1816" s="233"/>
      <c r="H1816" s="412"/>
      <c r="I1816" s="205"/>
      <c r="J1816" s="432">
        <v>2</v>
      </c>
      <c r="K1816" s="388"/>
    </row>
    <row r="1817" spans="1:11" ht="15" customHeight="1" x14ac:dyDescent="0.25">
      <c r="A1817" s="355"/>
      <c r="B1817" s="243" t="s">
        <v>3564</v>
      </c>
      <c r="C1817" s="244" t="s">
        <v>3695</v>
      </c>
      <c r="D1817" s="244"/>
      <c r="E1817" s="107">
        <f>E1815+1</f>
        <v>1678</v>
      </c>
      <c r="F1817" s="356" t="s">
        <v>47</v>
      </c>
      <c r="G1817" s="249" t="s">
        <v>45</v>
      </c>
      <c r="H1817" s="249">
        <f>IF(H600=0,1,5)</f>
        <v>5</v>
      </c>
      <c r="I1817" s="206"/>
      <c r="J1817" s="432">
        <v>3</v>
      </c>
      <c r="K1817" s="388" t="s">
        <v>1275</v>
      </c>
    </row>
    <row r="1818" spans="1:11" ht="15" customHeight="1" x14ac:dyDescent="0.25">
      <c r="A1818" s="214"/>
      <c r="B1818" s="214" t="s">
        <v>3567</v>
      </c>
      <c r="C1818" s="215" t="s">
        <v>3696</v>
      </c>
      <c r="D1818" s="215"/>
      <c r="E1818" s="107">
        <f t="shared" ref="E1818:E1823" si="158">E1817+1</f>
        <v>1679</v>
      </c>
      <c r="F1818" s="233"/>
      <c r="G1818" s="233" t="s">
        <v>45</v>
      </c>
      <c r="H1818" s="412">
        <v>5</v>
      </c>
      <c r="I1818" s="206"/>
      <c r="J1818" s="432">
        <v>4</v>
      </c>
      <c r="K1818" s="388"/>
    </row>
    <row r="1819" spans="1:11" ht="30" customHeight="1" x14ac:dyDescent="0.25">
      <c r="A1819" s="214"/>
      <c r="B1819" s="214"/>
      <c r="C1819" s="215" t="s">
        <v>3697</v>
      </c>
      <c r="D1819" s="215"/>
      <c r="E1819" s="107">
        <f t="shared" si="158"/>
        <v>1680</v>
      </c>
      <c r="F1819" s="413" t="s">
        <v>47</v>
      </c>
      <c r="G1819" s="233" t="s">
        <v>33</v>
      </c>
      <c r="H1819" s="412" t="s">
        <v>3698</v>
      </c>
      <c r="I1819" s="206"/>
      <c r="J1819" s="390" t="s">
        <v>3699</v>
      </c>
      <c r="K1819" s="388"/>
    </row>
    <row r="1820" spans="1:11" ht="15" customHeight="1" x14ac:dyDescent="0.25">
      <c r="A1820" s="214"/>
      <c r="B1820" s="241" t="s">
        <v>3570</v>
      </c>
      <c r="C1820" s="215" t="s">
        <v>3700</v>
      </c>
      <c r="D1820" s="215"/>
      <c r="E1820" s="107">
        <f t="shared" si="158"/>
        <v>1681</v>
      </c>
      <c r="F1820" s="392"/>
      <c r="G1820" s="408" t="s">
        <v>1151</v>
      </c>
      <c r="H1820" s="410">
        <v>20</v>
      </c>
      <c r="I1820" s="206"/>
      <c r="J1820" s="199" t="s">
        <v>3701</v>
      </c>
      <c r="K1820" s="388"/>
    </row>
    <row r="1821" spans="1:11" ht="15" customHeight="1" x14ac:dyDescent="0.25">
      <c r="A1821" s="214"/>
      <c r="B1821" s="241" t="s">
        <v>3572</v>
      </c>
      <c r="C1821" s="215" t="s">
        <v>3702</v>
      </c>
      <c r="D1821" s="215"/>
      <c r="E1821" s="107">
        <f t="shared" si="158"/>
        <v>1682</v>
      </c>
      <c r="F1821" s="392"/>
      <c r="G1821" s="408" t="s">
        <v>1155</v>
      </c>
      <c r="H1821" s="410">
        <v>1</v>
      </c>
      <c r="I1821" s="206"/>
      <c r="J1821" s="202" t="s">
        <v>3674</v>
      </c>
      <c r="K1821" s="388"/>
    </row>
    <row r="1822" spans="1:11" ht="30" customHeight="1" x14ac:dyDescent="0.25">
      <c r="A1822" s="214"/>
      <c r="B1822" s="241" t="s">
        <v>3576</v>
      </c>
      <c r="C1822" s="215" t="s">
        <v>3703</v>
      </c>
      <c r="D1822" s="215"/>
      <c r="E1822" s="107">
        <f t="shared" si="158"/>
        <v>1683</v>
      </c>
      <c r="F1822" s="407" t="s">
        <v>47</v>
      </c>
      <c r="G1822" s="408" t="s">
        <v>33</v>
      </c>
      <c r="H1822" s="409" t="s">
        <v>148</v>
      </c>
      <c r="I1822" s="203"/>
      <c r="J1822" s="202"/>
      <c r="K1822" s="388"/>
    </row>
    <row r="1823" spans="1:11" ht="15" customHeight="1" x14ac:dyDescent="0.25">
      <c r="A1823" s="249"/>
      <c r="B1823" s="243" t="s">
        <v>3580</v>
      </c>
      <c r="C1823" s="244" t="s">
        <v>3704</v>
      </c>
      <c r="D1823" s="246" t="s">
        <v>3595</v>
      </c>
      <c r="E1823" s="107">
        <f t="shared" si="158"/>
        <v>1684</v>
      </c>
      <c r="F1823" s="433"/>
      <c r="G1823" s="243" t="s">
        <v>45</v>
      </c>
      <c r="H1823" s="243">
        <f>IF(AND(H1820&lt;=3000,H1821&gt;5,H1821&lt;=30,H1822="Tidak Ada"),4,IF(AND(H1820&lt;=3000,H1821&gt;30,H1822="Tidak Ada"),3,
IF(AND(H1820&gt;3000,H1820&lt;=6000,H1821&gt;=5,OR(H1822="Ada",H1822="Tidak Ada")),4,IF(AND(H1820&gt;3000,H1820&lt;=6000,H1821&gt;5,H1821&lt;=30,H1822="Ada"),3,IF(AND(H1820&gt;3000,H1820&lt;=6000,H1821&gt;5,H1821&lt;=30,H1822="Tidak Ada"),2,IF(AND(H1820&gt;3000,H1820&lt;=6000,H1821&gt;30,H1822="Ada"),3,IF(AND(H1820&gt;3000,H1820&lt;=6000,H1821&gt;30,H1822="Ada"),2,
IF(AND(H1820&gt;6000,H1821&lt;=5,H1822="Ada"),4,IF(AND(H1820&gt;6000,H1821&lt;=5,H1822="Tidak Ada"),2,IF(AND(H1820&gt;6000,H1821&gt;5,H1821&lt;=30,H1822="Ada"),2,IF(AND(H1820&gt;6000,H1821&gt;5,H1821&lt;=30,H1822="Tidak Ada"),1,IF(AND(H1820&gt;6000,H1821&gt;30,OR(H1822="Ada",H1822="Tidak Ada")),1,5))))))))))))</f>
        <v>5</v>
      </c>
      <c r="I1823" s="461" t="s">
        <v>3705</v>
      </c>
      <c r="J1823" s="202"/>
      <c r="K1823" s="388"/>
    </row>
    <row r="1824" spans="1:11" ht="15" customHeight="1" x14ac:dyDescent="0.25">
      <c r="A1824" s="565">
        <v>8</v>
      </c>
      <c r="B1824" s="566"/>
      <c r="C1824" s="354" t="s">
        <v>3706</v>
      </c>
      <c r="D1824" s="354"/>
      <c r="E1824" s="133"/>
      <c r="F1824" s="233"/>
      <c r="G1824" s="233"/>
      <c r="H1824" s="233"/>
      <c r="I1824" s="205"/>
      <c r="J1824" s="202"/>
      <c r="K1824" s="388"/>
    </row>
    <row r="1825" spans="1:11" ht="15" customHeight="1" x14ac:dyDescent="0.25">
      <c r="A1825" s="249"/>
      <c r="B1825" s="249" t="s">
        <v>3564</v>
      </c>
      <c r="C1825" s="244" t="s">
        <v>3707</v>
      </c>
      <c r="D1825" s="244"/>
      <c r="E1825" s="107">
        <f>E1823+1</f>
        <v>1685</v>
      </c>
      <c r="F1825" s="356" t="s">
        <v>47</v>
      </c>
      <c r="G1825" s="249" t="s">
        <v>45</v>
      </c>
      <c r="H1825" s="249">
        <f>IF(H589=1,5,1)</f>
        <v>5</v>
      </c>
      <c r="I1825" s="206"/>
      <c r="J1825" s="202" t="s">
        <v>3708</v>
      </c>
      <c r="K1825" s="388"/>
    </row>
    <row r="1826" spans="1:11" ht="30" customHeight="1" x14ac:dyDescent="0.25">
      <c r="A1826" s="214"/>
      <c r="B1826" s="214" t="s">
        <v>3567</v>
      </c>
      <c r="C1826" s="215" t="s">
        <v>3709</v>
      </c>
      <c r="D1826" s="215"/>
      <c r="E1826" s="107">
        <f t="shared" ref="E1826:E1835" si="159">E1825+1</f>
        <v>1686</v>
      </c>
      <c r="F1826" s="233"/>
      <c r="G1826" s="233" t="s">
        <v>33</v>
      </c>
      <c r="H1826" s="412" t="s">
        <v>3710</v>
      </c>
      <c r="I1826" s="207"/>
      <c r="J1826" s="202"/>
      <c r="K1826" s="388"/>
    </row>
    <row r="1827" spans="1:11" ht="15" customHeight="1" x14ac:dyDescent="0.25">
      <c r="A1827" s="214"/>
      <c r="B1827" s="214"/>
      <c r="C1827" s="215" t="s">
        <v>3661</v>
      </c>
      <c r="D1827" s="215"/>
      <c r="E1827" s="107">
        <f t="shared" si="159"/>
        <v>1687</v>
      </c>
      <c r="F1827" s="413" t="s">
        <v>47</v>
      </c>
      <c r="G1827" s="233" t="s">
        <v>45</v>
      </c>
      <c r="H1827" s="409" t="s">
        <v>64</v>
      </c>
      <c r="I1827" s="207"/>
      <c r="J1827" s="202"/>
      <c r="K1827" s="388"/>
    </row>
    <row r="1828" spans="1:11" ht="15" customHeight="1" x14ac:dyDescent="0.25">
      <c r="A1828" s="214"/>
      <c r="B1828" s="214"/>
      <c r="C1828" s="215" t="s">
        <v>3663</v>
      </c>
      <c r="D1828" s="215"/>
      <c r="E1828" s="107">
        <f t="shared" si="159"/>
        <v>1688</v>
      </c>
      <c r="F1828" s="413" t="s">
        <v>47</v>
      </c>
      <c r="G1828" s="233" t="s">
        <v>45</v>
      </c>
      <c r="H1828" s="409" t="s">
        <v>148</v>
      </c>
      <c r="I1828" s="207"/>
      <c r="J1828" s="202"/>
      <c r="K1828" s="388"/>
    </row>
    <row r="1829" spans="1:11" ht="15" customHeight="1" x14ac:dyDescent="0.25">
      <c r="A1829" s="214"/>
      <c r="B1829" s="214"/>
      <c r="C1829" s="215" t="s">
        <v>3664</v>
      </c>
      <c r="D1829" s="215"/>
      <c r="E1829" s="107">
        <f t="shared" si="159"/>
        <v>1689</v>
      </c>
      <c r="F1829" s="413" t="s">
        <v>47</v>
      </c>
      <c r="G1829" s="233" t="s">
        <v>45</v>
      </c>
      <c r="H1829" s="409" t="s">
        <v>64</v>
      </c>
      <c r="I1829" s="207"/>
      <c r="J1829" s="202"/>
      <c r="K1829" s="388"/>
    </row>
    <row r="1830" spans="1:11" ht="15" customHeight="1" x14ac:dyDescent="0.25">
      <c r="A1830" s="214"/>
      <c r="B1830" s="214"/>
      <c r="C1830" s="215" t="s">
        <v>3665</v>
      </c>
      <c r="D1830" s="215"/>
      <c r="E1830" s="107">
        <f t="shared" si="159"/>
        <v>1690</v>
      </c>
      <c r="F1830" s="413" t="s">
        <v>47</v>
      </c>
      <c r="G1830" s="233" t="s">
        <v>45</v>
      </c>
      <c r="H1830" s="409" t="s">
        <v>64</v>
      </c>
      <c r="I1830" s="207"/>
      <c r="J1830" s="202"/>
      <c r="K1830" s="388"/>
    </row>
    <row r="1831" spans="1:11" ht="15" customHeight="1" x14ac:dyDescent="0.25">
      <c r="A1831" s="214"/>
      <c r="B1831" s="214"/>
      <c r="C1831" s="215" t="s">
        <v>3666</v>
      </c>
      <c r="D1831" s="215"/>
      <c r="E1831" s="107">
        <f t="shared" si="159"/>
        <v>1691</v>
      </c>
      <c r="F1831" s="413" t="s">
        <v>47</v>
      </c>
      <c r="G1831" s="233" t="s">
        <v>45</v>
      </c>
      <c r="H1831" s="409" t="s">
        <v>64</v>
      </c>
      <c r="I1831" s="207"/>
      <c r="J1831" s="202"/>
      <c r="K1831" s="388"/>
    </row>
    <row r="1832" spans="1:11" ht="15" customHeight="1" x14ac:dyDescent="0.25">
      <c r="A1832" s="214"/>
      <c r="B1832" s="214" t="s">
        <v>3570</v>
      </c>
      <c r="C1832" s="215" t="s">
        <v>3711</v>
      </c>
      <c r="D1832" s="215"/>
      <c r="E1832" s="107">
        <f t="shared" si="159"/>
        <v>1692</v>
      </c>
      <c r="F1832" s="392"/>
      <c r="G1832" s="413" t="s">
        <v>1048</v>
      </c>
      <c r="H1832" s="412">
        <v>1</v>
      </c>
      <c r="I1832" s="207"/>
      <c r="J1832" s="199" t="s">
        <v>1641</v>
      </c>
      <c r="K1832" s="388"/>
    </row>
    <row r="1833" spans="1:11" ht="15" customHeight="1" x14ac:dyDescent="0.25">
      <c r="A1833" s="214"/>
      <c r="B1833" s="214" t="s">
        <v>3572</v>
      </c>
      <c r="C1833" s="215" t="s">
        <v>3712</v>
      </c>
      <c r="D1833" s="215"/>
      <c r="E1833" s="107">
        <f t="shared" si="159"/>
        <v>1693</v>
      </c>
      <c r="F1833" s="233"/>
      <c r="G1833" s="233" t="s">
        <v>45</v>
      </c>
      <c r="H1833" s="412">
        <v>3</v>
      </c>
      <c r="I1833" s="206"/>
      <c r="J1833" s="202"/>
      <c r="K1833" s="388"/>
    </row>
    <row r="1834" spans="1:11" ht="15" customHeight="1" x14ac:dyDescent="0.25">
      <c r="A1834" s="357"/>
      <c r="B1834" s="214" t="s">
        <v>3576</v>
      </c>
      <c r="C1834" s="215" t="s">
        <v>3713</v>
      </c>
      <c r="D1834" s="215"/>
      <c r="E1834" s="107">
        <f t="shared" si="159"/>
        <v>1694</v>
      </c>
      <c r="F1834" s="413" t="s">
        <v>47</v>
      </c>
      <c r="G1834" s="233" t="s">
        <v>45</v>
      </c>
      <c r="H1834" s="412">
        <v>5</v>
      </c>
      <c r="I1834" s="206"/>
      <c r="J1834" s="202"/>
      <c r="K1834" s="388"/>
    </row>
    <row r="1835" spans="1:11" ht="30" customHeight="1" x14ac:dyDescent="0.25">
      <c r="A1835" s="214"/>
      <c r="B1835" s="214" t="s">
        <v>3580</v>
      </c>
      <c r="C1835" s="215" t="s">
        <v>3714</v>
      </c>
      <c r="D1835" s="215"/>
      <c r="E1835" s="107">
        <f t="shared" si="159"/>
        <v>1695</v>
      </c>
      <c r="F1835" s="413" t="s">
        <v>47</v>
      </c>
      <c r="G1835" s="233" t="s">
        <v>45</v>
      </c>
      <c r="H1835" s="412">
        <v>5</v>
      </c>
      <c r="I1835" s="206"/>
      <c r="J1835" s="202"/>
      <c r="K1835" s="388"/>
    </row>
    <row r="1836" spans="1:11" ht="45" customHeight="1" x14ac:dyDescent="0.25">
      <c r="A1836" s="214"/>
      <c r="B1836" s="214" t="s">
        <v>3582</v>
      </c>
      <c r="C1836" s="215" t="s">
        <v>3715</v>
      </c>
      <c r="D1836" s="215"/>
      <c r="E1836" s="133"/>
      <c r="F1836" s="233"/>
      <c r="G1836" s="233"/>
      <c r="H1836" s="233"/>
      <c r="I1836" s="205"/>
      <c r="J1836" s="202"/>
      <c r="K1836" s="388"/>
    </row>
    <row r="1837" spans="1:11" ht="15" customHeight="1" x14ac:dyDescent="0.25">
      <c r="A1837" s="214"/>
      <c r="B1837" s="214"/>
      <c r="C1837" s="215" t="s">
        <v>3716</v>
      </c>
      <c r="D1837" s="215"/>
      <c r="E1837" s="107">
        <f>E1835+1</f>
        <v>1696</v>
      </c>
      <c r="F1837" s="413" t="s">
        <v>47</v>
      </c>
      <c r="G1837" s="233" t="s">
        <v>45</v>
      </c>
      <c r="H1837" s="409" t="s">
        <v>148</v>
      </c>
      <c r="I1837" s="207"/>
      <c r="J1837" s="416" t="s">
        <v>148</v>
      </c>
      <c r="K1837" s="388"/>
    </row>
    <row r="1838" spans="1:11" ht="15" customHeight="1" x14ac:dyDescent="0.25">
      <c r="A1838" s="214"/>
      <c r="B1838" s="214"/>
      <c r="C1838" s="215" t="s">
        <v>3717</v>
      </c>
      <c r="D1838" s="215"/>
      <c r="E1838" s="107">
        <f>E1837+1</f>
        <v>1697</v>
      </c>
      <c r="F1838" s="413" t="s">
        <v>47</v>
      </c>
      <c r="G1838" s="233" t="s">
        <v>45</v>
      </c>
      <c r="H1838" s="409" t="s">
        <v>148</v>
      </c>
      <c r="I1838" s="207"/>
      <c r="J1838" s="416" t="s">
        <v>64</v>
      </c>
      <c r="K1838" s="388"/>
    </row>
    <row r="1839" spans="1:11" ht="15" customHeight="1" x14ac:dyDescent="0.25">
      <c r="A1839" s="214"/>
      <c r="B1839" s="214"/>
      <c r="C1839" s="215" t="s">
        <v>3718</v>
      </c>
      <c r="D1839" s="215"/>
      <c r="E1839" s="107">
        <f>E1838+1</f>
        <v>1698</v>
      </c>
      <c r="F1839" s="413" t="s">
        <v>47</v>
      </c>
      <c r="G1839" s="233" t="s">
        <v>45</v>
      </c>
      <c r="H1839" s="409" t="s">
        <v>148</v>
      </c>
      <c r="I1839" s="207"/>
      <c r="J1839" s="202"/>
      <c r="K1839" s="388"/>
    </row>
    <row r="1840" spans="1:11" ht="15" customHeight="1" x14ac:dyDescent="0.25">
      <c r="A1840" s="214"/>
      <c r="B1840" s="214"/>
      <c r="C1840" s="215" t="s">
        <v>3719</v>
      </c>
      <c r="D1840" s="215"/>
      <c r="E1840" s="107">
        <f>E1839+1</f>
        <v>1699</v>
      </c>
      <c r="F1840" s="413" t="s">
        <v>47</v>
      </c>
      <c r="G1840" s="233" t="s">
        <v>45</v>
      </c>
      <c r="H1840" s="409" t="s">
        <v>148</v>
      </c>
      <c r="I1840" s="207"/>
      <c r="J1840" s="202"/>
      <c r="K1840" s="388"/>
    </row>
    <row r="1841" spans="1:11" ht="15" customHeight="1" x14ac:dyDescent="0.25">
      <c r="A1841" s="214"/>
      <c r="B1841" s="214"/>
      <c r="C1841" s="215" t="s">
        <v>3720</v>
      </c>
      <c r="D1841" s="215"/>
      <c r="E1841" s="107">
        <f>E1840+1</f>
        <v>1700</v>
      </c>
      <c r="F1841" s="413" t="s">
        <v>47</v>
      </c>
      <c r="G1841" s="233" t="s">
        <v>33</v>
      </c>
      <c r="H1841" s="412" t="s">
        <v>3683</v>
      </c>
      <c r="I1841" s="205"/>
      <c r="J1841" s="202"/>
      <c r="K1841" s="388"/>
    </row>
    <row r="1842" spans="1:11" ht="15" customHeight="1" x14ac:dyDescent="0.25">
      <c r="A1842" s="565">
        <v>9</v>
      </c>
      <c r="B1842" s="566"/>
      <c r="C1842" s="354" t="s">
        <v>3721</v>
      </c>
      <c r="D1842" s="354"/>
      <c r="E1842" s="133"/>
      <c r="F1842" s="233"/>
      <c r="G1842" s="233"/>
      <c r="H1842" s="233"/>
      <c r="I1842" s="205"/>
      <c r="J1842" s="202"/>
      <c r="K1842" s="388"/>
    </row>
    <row r="1843" spans="1:11" ht="15" customHeight="1" x14ac:dyDescent="0.25">
      <c r="A1843" s="249"/>
      <c r="B1843" s="249" t="s">
        <v>3564</v>
      </c>
      <c r="C1843" s="244" t="s">
        <v>3722</v>
      </c>
      <c r="D1843" s="244"/>
      <c r="E1843" s="107">
        <f>E1841+1</f>
        <v>1701</v>
      </c>
      <c r="F1843" s="356" t="s">
        <v>47</v>
      </c>
      <c r="G1843" s="249" t="s">
        <v>45</v>
      </c>
      <c r="H1843" s="249">
        <f>IF(H586=0,1,5)</f>
        <v>5</v>
      </c>
      <c r="I1843" s="206"/>
      <c r="J1843" s="202" t="s">
        <v>3723</v>
      </c>
      <c r="K1843" s="388"/>
    </row>
    <row r="1844" spans="1:11" ht="15" customHeight="1" x14ac:dyDescent="0.25">
      <c r="A1844" s="214"/>
      <c r="B1844" s="214" t="s">
        <v>3567</v>
      </c>
      <c r="C1844" s="215" t="s">
        <v>3724</v>
      </c>
      <c r="D1844" s="215"/>
      <c r="E1844" s="107">
        <f>E1843+1</f>
        <v>1702</v>
      </c>
      <c r="F1844" s="392"/>
      <c r="G1844" s="413" t="s">
        <v>1048</v>
      </c>
      <c r="H1844" s="412">
        <v>0</v>
      </c>
      <c r="I1844" s="206"/>
      <c r="J1844" s="199" t="s">
        <v>1641</v>
      </c>
      <c r="K1844" s="388"/>
    </row>
    <row r="1845" spans="1:11" ht="30" customHeight="1" x14ac:dyDescent="0.25">
      <c r="A1845" s="214"/>
      <c r="B1845" s="214" t="s">
        <v>3570</v>
      </c>
      <c r="C1845" s="215" t="s">
        <v>3725</v>
      </c>
      <c r="D1845" s="215"/>
      <c r="E1845" s="133"/>
      <c r="F1845" s="233"/>
      <c r="G1845" s="233"/>
      <c r="H1845" s="233"/>
      <c r="I1845" s="207"/>
      <c r="J1845" s="202"/>
      <c r="K1845" s="388"/>
    </row>
    <row r="1846" spans="1:11" ht="15" customHeight="1" x14ac:dyDescent="0.25">
      <c r="A1846" s="214"/>
      <c r="B1846" s="214"/>
      <c r="C1846" s="215" t="s">
        <v>3661</v>
      </c>
      <c r="D1846" s="215"/>
      <c r="E1846" s="107">
        <f>E1844+1</f>
        <v>1703</v>
      </c>
      <c r="F1846" s="413" t="s">
        <v>47</v>
      </c>
      <c r="G1846" s="233" t="s">
        <v>45</v>
      </c>
      <c r="H1846" s="409" t="s">
        <v>64</v>
      </c>
      <c r="I1846" s="207"/>
      <c r="J1846" s="202"/>
      <c r="K1846" s="388"/>
    </row>
    <row r="1847" spans="1:11" ht="15" customHeight="1" x14ac:dyDescent="0.25">
      <c r="A1847" s="214"/>
      <c r="B1847" s="214"/>
      <c r="C1847" s="215" t="s">
        <v>3663</v>
      </c>
      <c r="D1847" s="215"/>
      <c r="E1847" s="107">
        <f t="shared" ref="E1847:E1853" si="160">E1846+1</f>
        <v>1704</v>
      </c>
      <c r="F1847" s="413" t="s">
        <v>47</v>
      </c>
      <c r="G1847" s="233" t="s">
        <v>45</v>
      </c>
      <c r="H1847" s="409" t="s">
        <v>148</v>
      </c>
      <c r="I1847" s="207"/>
      <c r="J1847" s="202"/>
      <c r="K1847" s="388"/>
    </row>
    <row r="1848" spans="1:11" ht="15" customHeight="1" x14ac:dyDescent="0.25">
      <c r="A1848" s="214"/>
      <c r="B1848" s="214"/>
      <c r="C1848" s="215" t="s">
        <v>3664</v>
      </c>
      <c r="D1848" s="215"/>
      <c r="E1848" s="107">
        <f t="shared" si="160"/>
        <v>1705</v>
      </c>
      <c r="F1848" s="413" t="s">
        <v>47</v>
      </c>
      <c r="G1848" s="233" t="s">
        <v>45</v>
      </c>
      <c r="H1848" s="409" t="s">
        <v>64</v>
      </c>
      <c r="I1848" s="207"/>
      <c r="J1848" s="202"/>
      <c r="K1848" s="388"/>
    </row>
    <row r="1849" spans="1:11" ht="15" customHeight="1" x14ac:dyDescent="0.25">
      <c r="A1849" s="214"/>
      <c r="B1849" s="214"/>
      <c r="C1849" s="215" t="s">
        <v>3665</v>
      </c>
      <c r="D1849" s="215"/>
      <c r="E1849" s="107">
        <f t="shared" si="160"/>
        <v>1706</v>
      </c>
      <c r="F1849" s="413" t="s">
        <v>47</v>
      </c>
      <c r="G1849" s="233" t="s">
        <v>45</v>
      </c>
      <c r="H1849" s="409" t="s">
        <v>64</v>
      </c>
      <c r="I1849" s="207"/>
      <c r="J1849" s="202"/>
      <c r="K1849" s="388"/>
    </row>
    <row r="1850" spans="1:11" ht="15" customHeight="1" x14ac:dyDescent="0.25">
      <c r="A1850" s="214"/>
      <c r="B1850" s="214"/>
      <c r="C1850" s="215" t="s">
        <v>3666</v>
      </c>
      <c r="D1850" s="215"/>
      <c r="E1850" s="107">
        <f t="shared" si="160"/>
        <v>1707</v>
      </c>
      <c r="F1850" s="413" t="s">
        <v>47</v>
      </c>
      <c r="G1850" s="233" t="s">
        <v>45</v>
      </c>
      <c r="H1850" s="409" t="s">
        <v>64</v>
      </c>
      <c r="I1850" s="207"/>
      <c r="J1850" s="202"/>
      <c r="K1850" s="388"/>
    </row>
    <row r="1851" spans="1:11" ht="15" customHeight="1" x14ac:dyDescent="0.25">
      <c r="A1851" s="214"/>
      <c r="B1851" s="214" t="s">
        <v>3572</v>
      </c>
      <c r="C1851" s="215" t="s">
        <v>3726</v>
      </c>
      <c r="D1851" s="215"/>
      <c r="E1851" s="107">
        <f t="shared" si="160"/>
        <v>1708</v>
      </c>
      <c r="F1851" s="233"/>
      <c r="G1851" s="233" t="s">
        <v>45</v>
      </c>
      <c r="H1851" s="412">
        <v>1</v>
      </c>
      <c r="I1851" s="206"/>
      <c r="J1851" s="202"/>
      <c r="K1851" s="388"/>
    </row>
    <row r="1852" spans="1:11" ht="15" customHeight="1" x14ac:dyDescent="0.25">
      <c r="A1852" s="357"/>
      <c r="B1852" s="214" t="s">
        <v>3576</v>
      </c>
      <c r="C1852" s="215" t="s">
        <v>3727</v>
      </c>
      <c r="D1852" s="215"/>
      <c r="E1852" s="107">
        <f t="shared" si="160"/>
        <v>1709</v>
      </c>
      <c r="F1852" s="413" t="s">
        <v>47</v>
      </c>
      <c r="G1852" s="233" t="s">
        <v>45</v>
      </c>
      <c r="H1852" s="412">
        <v>5</v>
      </c>
      <c r="I1852" s="206"/>
      <c r="J1852" s="202"/>
      <c r="K1852" s="388"/>
    </row>
    <row r="1853" spans="1:11" ht="30" customHeight="1" x14ac:dyDescent="0.25">
      <c r="A1853" s="214"/>
      <c r="B1853" s="214" t="s">
        <v>3580</v>
      </c>
      <c r="C1853" s="215" t="s">
        <v>3728</v>
      </c>
      <c r="D1853" s="215"/>
      <c r="E1853" s="107">
        <f t="shared" si="160"/>
        <v>1710</v>
      </c>
      <c r="F1853" s="413" t="s">
        <v>47</v>
      </c>
      <c r="G1853" s="233" t="s">
        <v>45</v>
      </c>
      <c r="H1853" s="412">
        <v>5</v>
      </c>
      <c r="I1853" s="206"/>
      <c r="J1853" s="199"/>
      <c r="K1853" s="388"/>
    </row>
    <row r="1854" spans="1:11" ht="45" customHeight="1" x14ac:dyDescent="0.25">
      <c r="A1854" s="214"/>
      <c r="B1854" s="214" t="s">
        <v>3582</v>
      </c>
      <c r="C1854" s="215" t="s">
        <v>3729</v>
      </c>
      <c r="D1854" s="215"/>
      <c r="E1854" s="133"/>
      <c r="F1854" s="233"/>
      <c r="G1854" s="233"/>
      <c r="H1854" s="233"/>
      <c r="I1854" s="205"/>
      <c r="J1854" s="202"/>
      <c r="K1854" s="388"/>
    </row>
    <row r="1855" spans="1:11" ht="15" customHeight="1" x14ac:dyDescent="0.25">
      <c r="A1855" s="214"/>
      <c r="B1855" s="214"/>
      <c r="C1855" s="215" t="s">
        <v>3716</v>
      </c>
      <c r="D1855" s="215"/>
      <c r="E1855" s="107">
        <f>E1853+1</f>
        <v>1711</v>
      </c>
      <c r="F1855" s="413" t="s">
        <v>47</v>
      </c>
      <c r="G1855" s="233" t="s">
        <v>45</v>
      </c>
      <c r="H1855" s="412" t="s">
        <v>148</v>
      </c>
      <c r="I1855" s="207"/>
      <c r="J1855" s="202"/>
      <c r="K1855" s="388"/>
    </row>
    <row r="1856" spans="1:11" ht="15" customHeight="1" x14ac:dyDescent="0.25">
      <c r="A1856" s="214"/>
      <c r="B1856" s="214"/>
      <c r="C1856" s="215" t="s">
        <v>3717</v>
      </c>
      <c r="D1856" s="215"/>
      <c r="E1856" s="107">
        <f>E1855+1</f>
        <v>1712</v>
      </c>
      <c r="F1856" s="413" t="s">
        <v>47</v>
      </c>
      <c r="G1856" s="233" t="s">
        <v>45</v>
      </c>
      <c r="H1856" s="412" t="s">
        <v>148</v>
      </c>
      <c r="I1856" s="207"/>
      <c r="J1856" s="202"/>
      <c r="K1856" s="388"/>
    </row>
    <row r="1857" spans="1:11" ht="15" customHeight="1" x14ac:dyDescent="0.25">
      <c r="A1857" s="214"/>
      <c r="B1857" s="214"/>
      <c r="C1857" s="215" t="s">
        <v>3718</v>
      </c>
      <c r="D1857" s="215"/>
      <c r="E1857" s="107">
        <f>E1856+1</f>
        <v>1713</v>
      </c>
      <c r="F1857" s="413" t="s">
        <v>47</v>
      </c>
      <c r="G1857" s="233" t="s">
        <v>45</v>
      </c>
      <c r="H1857" s="412" t="s">
        <v>148</v>
      </c>
      <c r="I1857" s="207"/>
      <c r="J1857" s="202"/>
      <c r="K1857" s="388"/>
    </row>
    <row r="1858" spans="1:11" ht="15" customHeight="1" x14ac:dyDescent="0.25">
      <c r="A1858" s="214"/>
      <c r="B1858" s="214"/>
      <c r="C1858" s="215" t="s">
        <v>3719</v>
      </c>
      <c r="D1858" s="215"/>
      <c r="E1858" s="107">
        <f>E1857+1</f>
        <v>1714</v>
      </c>
      <c r="F1858" s="413" t="s">
        <v>47</v>
      </c>
      <c r="G1858" s="233" t="s">
        <v>45</v>
      </c>
      <c r="H1858" s="412" t="s">
        <v>148</v>
      </c>
      <c r="I1858" s="207"/>
      <c r="J1858" s="202"/>
      <c r="K1858" s="388"/>
    </row>
    <row r="1859" spans="1:11" ht="15" customHeight="1" x14ac:dyDescent="0.25">
      <c r="A1859" s="214"/>
      <c r="B1859" s="214"/>
      <c r="C1859" s="215" t="s">
        <v>3720</v>
      </c>
      <c r="D1859" s="215"/>
      <c r="E1859" s="107">
        <f>E1858+1</f>
        <v>1715</v>
      </c>
      <c r="F1859" s="413" t="s">
        <v>47</v>
      </c>
      <c r="G1859" s="233" t="s">
        <v>33</v>
      </c>
      <c r="H1859" s="412" t="s">
        <v>3683</v>
      </c>
      <c r="I1859" s="205"/>
      <c r="J1859" s="202"/>
      <c r="K1859" s="388"/>
    </row>
    <row r="1860" spans="1:11" ht="15" customHeight="1" x14ac:dyDescent="0.25">
      <c r="A1860" s="565">
        <v>10</v>
      </c>
      <c r="B1860" s="566"/>
      <c r="C1860" s="354" t="s">
        <v>3730</v>
      </c>
      <c r="D1860" s="354"/>
      <c r="E1860" s="133"/>
      <c r="F1860" s="233"/>
      <c r="G1860" s="233"/>
      <c r="H1860" s="233"/>
      <c r="I1860" s="205"/>
      <c r="J1860" s="202"/>
      <c r="K1860" s="388"/>
    </row>
    <row r="1861" spans="1:11" ht="15" customHeight="1" x14ac:dyDescent="0.25">
      <c r="A1861" s="249"/>
      <c r="B1861" s="249" t="s">
        <v>3564</v>
      </c>
      <c r="C1861" s="244" t="s">
        <v>3731</v>
      </c>
      <c r="D1861" s="244"/>
      <c r="E1861" s="107">
        <f>E1859+1</f>
        <v>1716</v>
      </c>
      <c r="F1861" s="356" t="s">
        <v>47</v>
      </c>
      <c r="G1861" s="249" t="s">
        <v>45</v>
      </c>
      <c r="H1861" s="249">
        <f>IF(H592=0,1,5)</f>
        <v>5</v>
      </c>
      <c r="I1861" s="206"/>
      <c r="J1861" s="202" t="s">
        <v>3732</v>
      </c>
      <c r="K1861" s="388"/>
    </row>
    <row r="1862" spans="1:11" ht="30" customHeight="1" x14ac:dyDescent="0.25">
      <c r="A1862" s="214"/>
      <c r="B1862" s="214" t="s">
        <v>3567</v>
      </c>
      <c r="C1862" s="215" t="s">
        <v>3733</v>
      </c>
      <c r="D1862" s="215"/>
      <c r="E1862" s="107">
        <f>E1861+1</f>
        <v>1717</v>
      </c>
      <c r="F1862" s="434"/>
      <c r="G1862" s="413" t="s">
        <v>3734</v>
      </c>
      <c r="H1862" s="412">
        <v>4</v>
      </c>
      <c r="I1862" s="207"/>
      <c r="J1862" s="211" t="s">
        <v>1235</v>
      </c>
      <c r="K1862" s="400"/>
    </row>
    <row r="1863" spans="1:11" ht="30" customHeight="1" x14ac:dyDescent="0.25">
      <c r="A1863" s="214"/>
      <c r="B1863" s="214" t="s">
        <v>3570</v>
      </c>
      <c r="C1863" s="215" t="s">
        <v>3735</v>
      </c>
      <c r="D1863" s="215"/>
      <c r="E1863" s="107">
        <f>E1862+1</f>
        <v>1718</v>
      </c>
      <c r="F1863" s="233"/>
      <c r="G1863" s="233" t="s">
        <v>45</v>
      </c>
      <c r="H1863" s="412">
        <v>1</v>
      </c>
      <c r="I1863" s="206"/>
      <c r="J1863" s="202"/>
      <c r="K1863" s="388"/>
    </row>
    <row r="1864" spans="1:11" ht="30" customHeight="1" x14ac:dyDescent="0.25">
      <c r="A1864" s="357"/>
      <c r="B1864" s="214" t="s">
        <v>3572</v>
      </c>
      <c r="C1864" s="215" t="s">
        <v>3736</v>
      </c>
      <c r="D1864" s="215"/>
      <c r="E1864" s="107">
        <f>E1863+1</f>
        <v>1719</v>
      </c>
      <c r="F1864" s="413" t="s">
        <v>47</v>
      </c>
      <c r="G1864" s="233" t="s">
        <v>45</v>
      </c>
      <c r="H1864" s="412">
        <v>5</v>
      </c>
      <c r="I1864" s="206"/>
      <c r="J1864" s="202"/>
      <c r="K1864" s="388"/>
    </row>
    <row r="1865" spans="1:11" ht="30" customHeight="1" x14ac:dyDescent="0.25">
      <c r="A1865" s="214"/>
      <c r="B1865" s="214" t="s">
        <v>3576</v>
      </c>
      <c r="C1865" s="215" t="s">
        <v>3737</v>
      </c>
      <c r="D1865" s="215"/>
      <c r="E1865" s="107">
        <f>E1864+1</f>
        <v>1720</v>
      </c>
      <c r="F1865" s="233"/>
      <c r="G1865" s="233" t="s">
        <v>45</v>
      </c>
      <c r="H1865" s="412">
        <v>5</v>
      </c>
      <c r="I1865" s="206"/>
      <c r="J1865" s="202"/>
      <c r="K1865" s="388"/>
    </row>
    <row r="1866" spans="1:11" ht="60" customHeight="1" x14ac:dyDescent="0.25">
      <c r="A1866" s="214"/>
      <c r="B1866" s="214" t="s">
        <v>3580</v>
      </c>
      <c r="C1866" s="215" t="s">
        <v>3738</v>
      </c>
      <c r="D1866" s="215"/>
      <c r="E1866" s="133"/>
      <c r="F1866" s="233"/>
      <c r="G1866" s="233"/>
      <c r="H1866" s="233"/>
      <c r="I1866" s="205"/>
      <c r="J1866" s="202"/>
      <c r="K1866" s="388"/>
    </row>
    <row r="1867" spans="1:11" ht="15" customHeight="1" x14ac:dyDescent="0.25">
      <c r="A1867" s="214"/>
      <c r="B1867" s="214"/>
      <c r="C1867" s="215" t="s">
        <v>3716</v>
      </c>
      <c r="D1867" s="215"/>
      <c r="E1867" s="107">
        <f>E1865+1</f>
        <v>1721</v>
      </c>
      <c r="F1867" s="413" t="s">
        <v>47</v>
      </c>
      <c r="G1867" s="233" t="s">
        <v>45</v>
      </c>
      <c r="H1867" s="412" t="s">
        <v>148</v>
      </c>
      <c r="I1867" s="207"/>
      <c r="J1867" s="202"/>
      <c r="K1867" s="388"/>
    </row>
    <row r="1868" spans="1:11" ht="15" customHeight="1" x14ac:dyDescent="0.25">
      <c r="A1868" s="214"/>
      <c r="B1868" s="214"/>
      <c r="C1868" s="215" t="s">
        <v>3717</v>
      </c>
      <c r="D1868" s="215"/>
      <c r="E1868" s="107">
        <f>E1867+1</f>
        <v>1722</v>
      </c>
      <c r="F1868" s="413" t="s">
        <v>47</v>
      </c>
      <c r="G1868" s="233" t="s">
        <v>45</v>
      </c>
      <c r="H1868" s="412" t="s">
        <v>148</v>
      </c>
      <c r="I1868" s="207"/>
      <c r="J1868" s="202"/>
      <c r="K1868" s="388"/>
    </row>
    <row r="1869" spans="1:11" ht="15" customHeight="1" x14ac:dyDescent="0.25">
      <c r="A1869" s="214"/>
      <c r="B1869" s="214"/>
      <c r="C1869" s="215" t="s">
        <v>3718</v>
      </c>
      <c r="D1869" s="215"/>
      <c r="E1869" s="107">
        <f>E1868+1</f>
        <v>1723</v>
      </c>
      <c r="F1869" s="413" t="s">
        <v>47</v>
      </c>
      <c r="G1869" s="233" t="s">
        <v>45</v>
      </c>
      <c r="H1869" s="412" t="s">
        <v>148</v>
      </c>
      <c r="I1869" s="207"/>
      <c r="J1869" s="202"/>
      <c r="K1869" s="388"/>
    </row>
    <row r="1870" spans="1:11" ht="15" customHeight="1" x14ac:dyDescent="0.25">
      <c r="A1870" s="214"/>
      <c r="B1870" s="214"/>
      <c r="C1870" s="215" t="s">
        <v>3719</v>
      </c>
      <c r="D1870" s="215"/>
      <c r="E1870" s="107">
        <f>E1869+1</f>
        <v>1724</v>
      </c>
      <c r="F1870" s="413" t="s">
        <v>47</v>
      </c>
      <c r="G1870" s="233" t="s">
        <v>45</v>
      </c>
      <c r="H1870" s="412" t="s">
        <v>148</v>
      </c>
      <c r="I1870" s="207"/>
      <c r="J1870" s="202"/>
      <c r="K1870" s="388"/>
    </row>
    <row r="1871" spans="1:11" ht="15" customHeight="1" x14ac:dyDescent="0.25">
      <c r="A1871" s="214"/>
      <c r="B1871" s="214"/>
      <c r="C1871" s="215" t="s">
        <v>3720</v>
      </c>
      <c r="D1871" s="215"/>
      <c r="E1871" s="107">
        <f>E1870+1</f>
        <v>1725</v>
      </c>
      <c r="F1871" s="413" t="s">
        <v>47</v>
      </c>
      <c r="G1871" s="233" t="s">
        <v>33</v>
      </c>
      <c r="H1871" s="412" t="s">
        <v>3739</v>
      </c>
      <c r="I1871" s="205"/>
      <c r="J1871" s="202"/>
      <c r="K1871" s="388"/>
    </row>
    <row r="1872" spans="1:11" ht="15" customHeight="1" x14ac:dyDescent="0.25">
      <c r="A1872" s="565">
        <v>11</v>
      </c>
      <c r="B1872" s="566"/>
      <c r="C1872" s="354" t="s">
        <v>3740</v>
      </c>
      <c r="D1872" s="354"/>
      <c r="E1872" s="133"/>
      <c r="F1872" s="233"/>
      <c r="G1872" s="233"/>
      <c r="H1872" s="233"/>
      <c r="I1872" s="205"/>
      <c r="J1872" s="202"/>
      <c r="K1872" s="388"/>
    </row>
    <row r="1873" spans="1:11" ht="30" customHeight="1" x14ac:dyDescent="0.25">
      <c r="A1873" s="249"/>
      <c r="B1873" s="249" t="s">
        <v>3564</v>
      </c>
      <c r="C1873" s="244" t="s">
        <v>3741</v>
      </c>
      <c r="D1873" s="244"/>
      <c r="E1873" s="107">
        <f>E1871+1</f>
        <v>1726</v>
      </c>
      <c r="F1873" s="433"/>
      <c r="G1873" s="249" t="s">
        <v>1061</v>
      </c>
      <c r="H1873" s="358">
        <f>H606</f>
        <v>3690</v>
      </c>
      <c r="I1873" s="203"/>
      <c r="J1873" s="212" t="s">
        <v>3742</v>
      </c>
      <c r="K1873" s="388"/>
    </row>
    <row r="1874" spans="1:11" ht="15" customHeight="1" x14ac:dyDescent="0.25">
      <c r="A1874" s="249"/>
      <c r="B1874" s="249" t="s">
        <v>3567</v>
      </c>
      <c r="C1874" s="244" t="s">
        <v>3743</v>
      </c>
      <c r="D1874" s="249" t="s">
        <v>3595</v>
      </c>
      <c r="E1874" s="107">
        <f>E1873+1</f>
        <v>1727</v>
      </c>
      <c r="F1874" s="433"/>
      <c r="G1874" s="359">
        <f>H1873/H1720</f>
        <v>0.88214200334687998</v>
      </c>
      <c r="H1874" s="243">
        <f>IF(G1874&lt;=20%,1,
IF(AND(G1874&gt;20%,G1874&lt;=40%),2,
IF(AND(G1874&gt;40%,G1874&lt;=60%),3,
IF(AND(G1874&gt;60%,G1874&lt;=80%),4,
IF(AND(G1874&gt;80%,G1874&lt;=100%),5,"Tidak Teridentifikasi")))))</f>
        <v>5</v>
      </c>
      <c r="I1874" s="475" t="s">
        <v>3744</v>
      </c>
      <c r="J1874" s="202"/>
      <c r="K1874" s="388"/>
    </row>
    <row r="1875" spans="1:11" ht="30" customHeight="1" x14ac:dyDescent="0.25">
      <c r="A1875" s="214"/>
      <c r="B1875" s="214" t="s">
        <v>3570</v>
      </c>
      <c r="C1875" s="215" t="s">
        <v>3745</v>
      </c>
      <c r="D1875" s="215"/>
      <c r="E1875" s="107">
        <f>E1874+1</f>
        <v>1728</v>
      </c>
      <c r="F1875" s="233"/>
      <c r="G1875" s="233" t="s">
        <v>45</v>
      </c>
      <c r="H1875" s="412">
        <v>5</v>
      </c>
      <c r="I1875" s="206" t="s">
        <v>3746</v>
      </c>
      <c r="J1875" s="202"/>
      <c r="K1875" s="388"/>
    </row>
    <row r="1876" spans="1:11" ht="30" customHeight="1" x14ac:dyDescent="0.25">
      <c r="A1876" s="214"/>
      <c r="B1876" s="214" t="s">
        <v>3572</v>
      </c>
      <c r="C1876" s="215" t="s">
        <v>3747</v>
      </c>
      <c r="D1876" s="215"/>
      <c r="E1876" s="107">
        <f>E1875+1</f>
        <v>1729</v>
      </c>
      <c r="F1876" s="413" t="s">
        <v>47</v>
      </c>
      <c r="G1876" s="233" t="s">
        <v>33</v>
      </c>
      <c r="H1876" s="412" t="s">
        <v>3748</v>
      </c>
      <c r="I1876" s="213"/>
      <c r="J1876" s="202"/>
      <c r="K1876" s="388"/>
    </row>
    <row r="1877" spans="1:11" ht="15" customHeight="1" x14ac:dyDescent="0.25">
      <c r="A1877" s="565" t="s">
        <v>3749</v>
      </c>
      <c r="B1877" s="566"/>
      <c r="C1877" s="239" t="s">
        <v>3750</v>
      </c>
      <c r="D1877" s="239"/>
      <c r="E1877" s="133"/>
      <c r="F1877" s="406"/>
      <c r="G1877" s="406"/>
      <c r="H1877" s="414"/>
      <c r="I1877" s="205"/>
      <c r="J1877" s="202"/>
      <c r="K1877" s="388"/>
    </row>
    <row r="1878" spans="1:11" ht="30" customHeight="1" x14ac:dyDescent="0.25">
      <c r="A1878" s="565">
        <v>12</v>
      </c>
      <c r="B1878" s="566"/>
      <c r="C1878" s="239" t="s">
        <v>3751</v>
      </c>
      <c r="D1878" s="239"/>
      <c r="E1878" s="133"/>
      <c r="F1878" s="405"/>
      <c r="G1878" s="405"/>
      <c r="H1878" s="415"/>
      <c r="I1878" s="205"/>
      <c r="J1878" s="202"/>
      <c r="K1878" s="388"/>
    </row>
    <row r="1879" spans="1:11" ht="30" customHeight="1" x14ac:dyDescent="0.25">
      <c r="A1879" s="214"/>
      <c r="B1879" s="214" t="s">
        <v>3564</v>
      </c>
      <c r="C1879" s="215" t="s">
        <v>3752</v>
      </c>
      <c r="D1879" s="215"/>
      <c r="E1879" s="107">
        <f>E1876+1</f>
        <v>1730</v>
      </c>
      <c r="F1879" s="413"/>
      <c r="G1879" s="233" t="s">
        <v>45</v>
      </c>
      <c r="H1879" s="412" t="s">
        <v>148</v>
      </c>
      <c r="I1879" s="206"/>
      <c r="J1879" s="202"/>
      <c r="K1879" s="388"/>
    </row>
    <row r="1880" spans="1:11" ht="15" customHeight="1" x14ac:dyDescent="0.25">
      <c r="A1880" s="214"/>
      <c r="B1880" s="214" t="s">
        <v>3567</v>
      </c>
      <c r="C1880" s="215" t="s">
        <v>3753</v>
      </c>
      <c r="D1880" s="215"/>
      <c r="E1880" s="107">
        <f t="shared" ref="E1880:E1886" si="161">E1879+1</f>
        <v>1731</v>
      </c>
      <c r="F1880" s="392"/>
      <c r="G1880" s="408" t="s">
        <v>3734</v>
      </c>
      <c r="H1880" s="412">
        <v>1195</v>
      </c>
      <c r="I1880" s="207"/>
      <c r="J1880" s="199" t="s">
        <v>3754</v>
      </c>
      <c r="K1880" s="388"/>
    </row>
    <row r="1881" spans="1:11" ht="15" customHeight="1" x14ac:dyDescent="0.25">
      <c r="A1881" s="248" t="s">
        <v>3755</v>
      </c>
      <c r="B1881" s="249"/>
      <c r="C1881" s="250" t="s">
        <v>3756</v>
      </c>
      <c r="D1881" s="249" t="s">
        <v>3595</v>
      </c>
      <c r="E1881" s="107">
        <f t="shared" si="161"/>
        <v>1732</v>
      </c>
      <c r="F1881" s="433"/>
      <c r="G1881" s="251">
        <f>H1880/H1719</f>
        <v>1</v>
      </c>
      <c r="H1881" s="249">
        <f>IF(H1880=0,1,IF(G1881&lt;50%,3,5))</f>
        <v>5</v>
      </c>
      <c r="I1881" s="206"/>
      <c r="J1881" s="202"/>
      <c r="K1881" s="388"/>
    </row>
    <row r="1882" spans="1:11" ht="15" customHeight="1" x14ac:dyDescent="0.25">
      <c r="A1882" s="214"/>
      <c r="B1882" s="214"/>
      <c r="C1882" s="360" t="s">
        <v>3757</v>
      </c>
      <c r="D1882" s="360"/>
      <c r="E1882" s="107">
        <f t="shared" si="161"/>
        <v>1733</v>
      </c>
      <c r="F1882" s="413"/>
      <c r="G1882" s="233" t="s">
        <v>45</v>
      </c>
      <c r="H1882" s="412">
        <v>5</v>
      </c>
      <c r="I1882" s="206"/>
      <c r="J1882" s="202"/>
      <c r="K1882" s="388"/>
    </row>
    <row r="1883" spans="1:11" ht="30" customHeight="1" x14ac:dyDescent="0.25">
      <c r="A1883" s="214"/>
      <c r="B1883" s="214" t="s">
        <v>3570</v>
      </c>
      <c r="C1883" s="360" t="s">
        <v>3758</v>
      </c>
      <c r="D1883" s="360"/>
      <c r="E1883" s="107">
        <f t="shared" si="161"/>
        <v>1734</v>
      </c>
      <c r="F1883" s="413"/>
      <c r="G1883" s="233" t="s">
        <v>45</v>
      </c>
      <c r="H1883" s="412" t="s">
        <v>148</v>
      </c>
      <c r="I1883" s="207"/>
      <c r="J1883" s="202"/>
      <c r="K1883" s="388"/>
    </row>
    <row r="1884" spans="1:11" ht="30" customHeight="1" x14ac:dyDescent="0.25">
      <c r="A1884" s="214"/>
      <c r="B1884" s="214"/>
      <c r="C1884" s="360" t="s">
        <v>3759</v>
      </c>
      <c r="D1884" s="360"/>
      <c r="E1884" s="107">
        <f t="shared" si="161"/>
        <v>1735</v>
      </c>
      <c r="F1884" s="413"/>
      <c r="G1884" s="233" t="s">
        <v>45</v>
      </c>
      <c r="H1884" s="412">
        <v>5</v>
      </c>
      <c r="I1884" s="206"/>
      <c r="J1884" s="425">
        <v>1</v>
      </c>
      <c r="K1884" s="388"/>
    </row>
    <row r="1885" spans="1:11" ht="15" customHeight="1" x14ac:dyDescent="0.25">
      <c r="A1885" s="214"/>
      <c r="B1885" s="214"/>
      <c r="C1885" s="360" t="s">
        <v>3760</v>
      </c>
      <c r="D1885" s="360"/>
      <c r="E1885" s="107">
        <f t="shared" si="161"/>
        <v>1736</v>
      </c>
      <c r="F1885" s="413"/>
      <c r="G1885" s="233" t="s">
        <v>45</v>
      </c>
      <c r="H1885" s="412">
        <v>5</v>
      </c>
      <c r="I1885" s="206"/>
      <c r="J1885" s="425">
        <v>5</v>
      </c>
      <c r="K1885" s="388"/>
    </row>
    <row r="1886" spans="1:11" ht="15" customHeight="1" x14ac:dyDescent="0.25">
      <c r="A1886" s="214"/>
      <c r="B1886" s="214" t="s">
        <v>3572</v>
      </c>
      <c r="C1886" s="360" t="s">
        <v>3761</v>
      </c>
      <c r="D1886" s="360"/>
      <c r="E1886" s="107">
        <f t="shared" si="161"/>
        <v>1737</v>
      </c>
      <c r="F1886" s="413"/>
      <c r="G1886" s="233" t="s">
        <v>45</v>
      </c>
      <c r="H1886" s="412">
        <v>5</v>
      </c>
      <c r="I1886" s="206"/>
      <c r="J1886" s="202"/>
      <c r="K1886" s="388"/>
    </row>
    <row r="1887" spans="1:11" ht="15" customHeight="1" x14ac:dyDescent="0.25">
      <c r="A1887" s="565">
        <v>13</v>
      </c>
      <c r="B1887" s="566"/>
      <c r="C1887" s="354" t="s">
        <v>3762</v>
      </c>
      <c r="D1887" s="354"/>
      <c r="E1887" s="133"/>
      <c r="F1887" s="233"/>
      <c r="G1887" s="233"/>
      <c r="H1887" s="233"/>
      <c r="I1887" s="207"/>
      <c r="J1887" s="202"/>
      <c r="K1887" s="388"/>
    </row>
    <row r="1888" spans="1:11" ht="30" customHeight="1" x14ac:dyDescent="0.25">
      <c r="A1888" s="214"/>
      <c r="B1888" s="214" t="s">
        <v>3564</v>
      </c>
      <c r="C1888" s="360" t="s">
        <v>3763</v>
      </c>
      <c r="D1888" s="360"/>
      <c r="E1888" s="133"/>
      <c r="F1888" s="233"/>
      <c r="G1888" s="233"/>
      <c r="H1888" s="233"/>
      <c r="I1888" s="207"/>
      <c r="J1888" s="202"/>
      <c r="K1888" s="388"/>
    </row>
    <row r="1889" spans="1:11" ht="15" customHeight="1" x14ac:dyDescent="0.25">
      <c r="A1889" s="249"/>
      <c r="B1889" s="249"/>
      <c r="C1889" s="250" t="s">
        <v>3764</v>
      </c>
      <c r="D1889" s="250"/>
      <c r="E1889" s="107">
        <f>E1886+1</f>
        <v>1738</v>
      </c>
      <c r="F1889" s="356"/>
      <c r="G1889" s="249" t="s">
        <v>45</v>
      </c>
      <c r="H1889" s="249" t="str">
        <f>IF(SUM(H885:H886)&gt;0,"Ada","Tidak Ada")</f>
        <v>Ada</v>
      </c>
      <c r="I1889" s="207"/>
      <c r="J1889" s="202" t="s">
        <v>3765</v>
      </c>
      <c r="K1889" s="388"/>
    </row>
    <row r="1890" spans="1:11" ht="15" customHeight="1" x14ac:dyDescent="0.25">
      <c r="A1890" s="249"/>
      <c r="B1890" s="249"/>
      <c r="C1890" s="250" t="s">
        <v>3766</v>
      </c>
      <c r="D1890" s="250"/>
      <c r="E1890" s="107">
        <f t="shared" ref="E1890:E1899" si="162">E1889+1</f>
        <v>1739</v>
      </c>
      <c r="F1890" s="356"/>
      <c r="G1890" s="249" t="s">
        <v>45</v>
      </c>
      <c r="H1890" s="249" t="str">
        <f>IF(SUM(H887:H888)&gt;0,"Ada","Tidak Ada")</f>
        <v>Ada</v>
      </c>
      <c r="I1890" s="207"/>
      <c r="J1890" s="202" t="s">
        <v>3767</v>
      </c>
      <c r="K1890" s="388"/>
    </row>
    <row r="1891" spans="1:11" ht="30" customHeight="1" x14ac:dyDescent="0.25">
      <c r="A1891" s="249"/>
      <c r="B1891" s="249"/>
      <c r="C1891" s="250" t="s">
        <v>3768</v>
      </c>
      <c r="D1891" s="250"/>
      <c r="E1891" s="107">
        <f t="shared" si="162"/>
        <v>1740</v>
      </c>
      <c r="F1891" s="356"/>
      <c r="G1891" s="249" t="s">
        <v>45</v>
      </c>
      <c r="H1891" s="249" t="str">
        <f>IF(SUM(H892,H890)&gt;0,"Ada","Tidak Ada")</f>
        <v>Tidak Ada</v>
      </c>
      <c r="I1891" s="207"/>
      <c r="J1891" s="202" t="s">
        <v>3769</v>
      </c>
      <c r="K1891" s="388"/>
    </row>
    <row r="1892" spans="1:11" ht="15" customHeight="1" x14ac:dyDescent="0.25">
      <c r="A1892" s="249"/>
      <c r="B1892" s="249"/>
      <c r="C1892" s="250" t="s">
        <v>3770</v>
      </c>
      <c r="D1892" s="250"/>
      <c r="E1892" s="107">
        <f t="shared" si="162"/>
        <v>1741</v>
      </c>
      <c r="F1892" s="356"/>
      <c r="G1892" s="249" t="s">
        <v>45</v>
      </c>
      <c r="H1892" s="249" t="str">
        <f>IF(H891=1,"Ada","Tidak Ada")</f>
        <v>Ada</v>
      </c>
      <c r="I1892" s="207"/>
      <c r="J1892" s="202" t="s">
        <v>3771</v>
      </c>
      <c r="K1892" s="388"/>
    </row>
    <row r="1893" spans="1:11" ht="15" customHeight="1" x14ac:dyDescent="0.25">
      <c r="A1893" s="249"/>
      <c r="B1893" s="249"/>
      <c r="C1893" s="250" t="s">
        <v>3772</v>
      </c>
      <c r="D1893" s="250"/>
      <c r="E1893" s="107">
        <f t="shared" si="162"/>
        <v>1742</v>
      </c>
      <c r="F1893" s="356"/>
      <c r="G1893" s="249" t="s">
        <v>45</v>
      </c>
      <c r="H1893" s="249" t="str">
        <f>IF(H889=1,"Ada","Tidak Ada")</f>
        <v>Tidak Ada</v>
      </c>
      <c r="I1893" s="207"/>
      <c r="J1893" s="202" t="s">
        <v>3773</v>
      </c>
      <c r="K1893" s="388"/>
    </row>
    <row r="1894" spans="1:11" ht="30" customHeight="1" x14ac:dyDescent="0.25">
      <c r="A1894" s="214"/>
      <c r="B1894" s="214" t="s">
        <v>3567</v>
      </c>
      <c r="C1894" s="360" t="s">
        <v>3774</v>
      </c>
      <c r="D1894" s="360"/>
      <c r="E1894" s="107">
        <f t="shared" si="162"/>
        <v>1743</v>
      </c>
      <c r="F1894" s="233"/>
      <c r="G1894" s="233" t="s">
        <v>45</v>
      </c>
      <c r="H1894" s="412">
        <v>5</v>
      </c>
      <c r="I1894" s="8" t="s">
        <v>3746</v>
      </c>
      <c r="J1894" s="202"/>
      <c r="K1894" s="388"/>
    </row>
    <row r="1895" spans="1:11" ht="15" customHeight="1" x14ac:dyDescent="0.25">
      <c r="A1895" s="214"/>
      <c r="B1895" s="214" t="s">
        <v>3570</v>
      </c>
      <c r="C1895" s="360" t="s">
        <v>3775</v>
      </c>
      <c r="D1895" s="360"/>
      <c r="E1895" s="107">
        <f t="shared" si="162"/>
        <v>1744</v>
      </c>
      <c r="F1895" s="392"/>
      <c r="G1895" s="408" t="s">
        <v>3734</v>
      </c>
      <c r="H1895" s="412">
        <v>1195</v>
      </c>
      <c r="I1895" s="207"/>
      <c r="J1895" s="199" t="s">
        <v>3754</v>
      </c>
      <c r="K1895" s="388"/>
    </row>
    <row r="1896" spans="1:11" ht="15" customHeight="1" x14ac:dyDescent="0.25">
      <c r="A1896" s="248"/>
      <c r="B1896" s="249" t="s">
        <v>3572</v>
      </c>
      <c r="C1896" s="250" t="s">
        <v>3776</v>
      </c>
      <c r="D1896" s="243" t="s">
        <v>3595</v>
      </c>
      <c r="E1896" s="107">
        <f t="shared" si="162"/>
        <v>1745</v>
      </c>
      <c r="F1896" s="433"/>
      <c r="G1896" s="251">
        <f>H1895/H1719</f>
        <v>1</v>
      </c>
      <c r="H1896" s="249">
        <f>IF(G1896&lt;50%,1,
IF(AND(G1896&gt;=50%,G1896&lt;100%),3,
IF(G1896=100%,5,"Melebihi Jumlah Ketersediaan Rumah")))</f>
        <v>5</v>
      </c>
      <c r="I1896" s="8"/>
      <c r="J1896" s="202"/>
      <c r="K1896" s="388"/>
    </row>
    <row r="1897" spans="1:11" ht="27" customHeight="1" x14ac:dyDescent="0.25">
      <c r="A1897" s="357"/>
      <c r="B1897" s="214" t="s">
        <v>3576</v>
      </c>
      <c r="C1897" s="360" t="s">
        <v>3777</v>
      </c>
      <c r="D1897" s="360"/>
      <c r="E1897" s="107">
        <f t="shared" si="162"/>
        <v>1746</v>
      </c>
      <c r="F1897" s="413"/>
      <c r="G1897" s="233" t="s">
        <v>45</v>
      </c>
      <c r="H1897" s="412">
        <v>3</v>
      </c>
      <c r="I1897" s="8"/>
      <c r="J1897" s="202"/>
      <c r="K1897" s="388"/>
    </row>
    <row r="1898" spans="1:11" ht="30" customHeight="1" x14ac:dyDescent="0.25">
      <c r="A1898" s="214"/>
      <c r="B1898" s="214" t="s">
        <v>3580</v>
      </c>
      <c r="C1898" s="360" t="s">
        <v>3778</v>
      </c>
      <c r="D1898" s="360"/>
      <c r="E1898" s="107">
        <f t="shared" si="162"/>
        <v>1747</v>
      </c>
      <c r="F1898" s="413"/>
      <c r="G1898" s="233" t="s">
        <v>33</v>
      </c>
      <c r="H1898" s="412" t="s">
        <v>3779</v>
      </c>
      <c r="I1898" s="216"/>
      <c r="J1898" s="202"/>
      <c r="K1898" s="388"/>
    </row>
    <row r="1899" spans="1:11" ht="30" customHeight="1" x14ac:dyDescent="0.25">
      <c r="A1899" s="214"/>
      <c r="B1899" s="214" t="s">
        <v>3582</v>
      </c>
      <c r="C1899" s="360" t="s">
        <v>3780</v>
      </c>
      <c r="D1899" s="360"/>
      <c r="E1899" s="107">
        <f t="shared" si="162"/>
        <v>1748</v>
      </c>
      <c r="F1899" s="413"/>
      <c r="G1899" s="233" t="s">
        <v>45</v>
      </c>
      <c r="H1899" s="412">
        <v>5</v>
      </c>
      <c r="I1899" s="8"/>
      <c r="J1899" s="202"/>
      <c r="K1899" s="388"/>
    </row>
    <row r="1900" spans="1:11" ht="15" customHeight="1" x14ac:dyDescent="0.25">
      <c r="A1900" s="565">
        <v>14</v>
      </c>
      <c r="B1900" s="566"/>
      <c r="C1900" s="354" t="s">
        <v>1953</v>
      </c>
      <c r="D1900" s="354"/>
      <c r="E1900" s="133"/>
      <c r="F1900" s="233"/>
      <c r="G1900" s="233"/>
      <c r="H1900" s="233"/>
      <c r="I1900" s="8"/>
      <c r="J1900" s="202"/>
      <c r="K1900" s="388"/>
    </row>
    <row r="1901" spans="1:11" ht="15" customHeight="1" x14ac:dyDescent="0.25">
      <c r="A1901" s="395"/>
      <c r="B1901" s="214" t="s">
        <v>3564</v>
      </c>
      <c r="C1901" s="360" t="s">
        <v>3781</v>
      </c>
      <c r="D1901" s="360"/>
      <c r="E1901" s="107">
        <f>E1899+1</f>
        <v>1749</v>
      </c>
      <c r="F1901" s="392"/>
      <c r="G1901" s="408" t="s">
        <v>3734</v>
      </c>
      <c r="H1901" s="412">
        <v>1195</v>
      </c>
      <c r="I1901" s="207"/>
      <c r="J1901" s="199" t="s">
        <v>3754</v>
      </c>
      <c r="K1901" s="388"/>
    </row>
    <row r="1902" spans="1:11" ht="15" customHeight="1" x14ac:dyDescent="0.25">
      <c r="A1902" s="249"/>
      <c r="B1902" s="249" t="s">
        <v>3567</v>
      </c>
      <c r="C1902" s="244" t="s">
        <v>3782</v>
      </c>
      <c r="D1902" s="243" t="s">
        <v>3595</v>
      </c>
      <c r="E1902" s="107">
        <f>E1901+1</f>
        <v>1750</v>
      </c>
      <c r="F1902" s="433"/>
      <c r="G1902" s="251">
        <f>H1901/H1719</f>
        <v>1</v>
      </c>
      <c r="H1902" s="249">
        <f>IF(AND(G1902&gt;0%,G1902&lt;=50%),3,
IF(G1902&gt;50%,5,1))</f>
        <v>5</v>
      </c>
      <c r="I1902" s="8"/>
      <c r="J1902" s="416">
        <v>1</v>
      </c>
      <c r="K1902" s="388"/>
    </row>
    <row r="1903" spans="1:11" ht="15" customHeight="1" x14ac:dyDescent="0.25">
      <c r="A1903" s="214"/>
      <c r="B1903" s="214" t="s">
        <v>3570</v>
      </c>
      <c r="C1903" s="215" t="s">
        <v>3783</v>
      </c>
      <c r="D1903" s="215"/>
      <c r="E1903" s="107">
        <f>E1902+1</f>
        <v>1751</v>
      </c>
      <c r="F1903" s="233"/>
      <c r="G1903" s="233" t="s">
        <v>45</v>
      </c>
      <c r="H1903" s="412">
        <v>5</v>
      </c>
      <c r="I1903" s="8"/>
      <c r="J1903" s="416">
        <v>2</v>
      </c>
      <c r="K1903" s="388"/>
    </row>
    <row r="1904" spans="1:11" ht="15" customHeight="1" x14ac:dyDescent="0.25">
      <c r="A1904" s="214"/>
      <c r="B1904" s="214" t="s">
        <v>3572</v>
      </c>
      <c r="C1904" s="215" t="s">
        <v>3784</v>
      </c>
      <c r="D1904" s="215"/>
      <c r="E1904" s="107">
        <f>E1903+1</f>
        <v>1752</v>
      </c>
      <c r="F1904" s="413"/>
      <c r="G1904" s="233" t="s">
        <v>33</v>
      </c>
      <c r="H1904" s="412" t="s">
        <v>3785</v>
      </c>
      <c r="I1904" s="216"/>
      <c r="J1904" s="416">
        <v>4</v>
      </c>
      <c r="K1904" s="388"/>
    </row>
    <row r="1905" spans="1:11" ht="15" customHeight="1" x14ac:dyDescent="0.25">
      <c r="A1905" s="214"/>
      <c r="B1905" s="214" t="s">
        <v>3576</v>
      </c>
      <c r="C1905" s="215" t="s">
        <v>3786</v>
      </c>
      <c r="D1905" s="215"/>
      <c r="E1905" s="133"/>
      <c r="F1905" s="233"/>
      <c r="G1905" s="233"/>
      <c r="H1905" s="233"/>
      <c r="I1905" s="216"/>
      <c r="J1905" s="416">
        <v>5</v>
      </c>
      <c r="K1905" s="388"/>
    </row>
    <row r="1906" spans="1:11" ht="15" customHeight="1" x14ac:dyDescent="0.25">
      <c r="A1906" s="249"/>
      <c r="B1906" s="249"/>
      <c r="C1906" s="244" t="s">
        <v>3787</v>
      </c>
      <c r="D1906" s="244"/>
      <c r="E1906" s="107">
        <f>E1904+1</f>
        <v>1753</v>
      </c>
      <c r="F1906" s="356"/>
      <c r="G1906" s="249" t="s">
        <v>45</v>
      </c>
      <c r="H1906" s="249" t="str">
        <f>IF(H918&gt;0,"Ada","Tidak Ada")</f>
        <v>Tidak Ada</v>
      </c>
      <c r="I1906" s="216"/>
      <c r="J1906" s="199" t="s">
        <v>3788</v>
      </c>
      <c r="K1906" s="388"/>
    </row>
    <row r="1907" spans="1:11" ht="15" customHeight="1" x14ac:dyDescent="0.25">
      <c r="A1907" s="249"/>
      <c r="B1907" s="249"/>
      <c r="C1907" s="244" t="s">
        <v>3789</v>
      </c>
      <c r="D1907" s="244"/>
      <c r="E1907" s="107">
        <f t="shared" ref="E1907:E1913" si="163">E1906+1</f>
        <v>1754</v>
      </c>
      <c r="F1907" s="356"/>
      <c r="G1907" s="249" t="s">
        <v>45</v>
      </c>
      <c r="H1907" s="249" t="str">
        <f>IF(H919&gt;0,"Ada","Tidak Ada")</f>
        <v>Tidak Ada</v>
      </c>
      <c r="I1907" s="216"/>
      <c r="J1907" s="199" t="s">
        <v>3790</v>
      </c>
      <c r="K1907" s="388"/>
    </row>
    <row r="1908" spans="1:11" ht="15" customHeight="1" x14ac:dyDescent="0.25">
      <c r="A1908" s="249"/>
      <c r="B1908" s="249"/>
      <c r="C1908" s="244" t="s">
        <v>3791</v>
      </c>
      <c r="D1908" s="244"/>
      <c r="E1908" s="107">
        <f t="shared" si="163"/>
        <v>1755</v>
      </c>
      <c r="F1908" s="356"/>
      <c r="G1908" s="249" t="s">
        <v>45</v>
      </c>
      <c r="H1908" s="249" t="s">
        <v>64</v>
      </c>
      <c r="I1908" s="216"/>
      <c r="J1908" s="199" t="s">
        <v>3792</v>
      </c>
      <c r="K1908" s="388"/>
    </row>
    <row r="1909" spans="1:11" ht="15" customHeight="1" x14ac:dyDescent="0.25">
      <c r="A1909" s="249"/>
      <c r="B1909" s="249"/>
      <c r="C1909" s="244" t="s">
        <v>3793</v>
      </c>
      <c r="D1909" s="244"/>
      <c r="E1909" s="107">
        <f t="shared" si="163"/>
        <v>1756</v>
      </c>
      <c r="F1909" s="356"/>
      <c r="G1909" s="249" t="s">
        <v>45</v>
      </c>
      <c r="H1909" s="249" t="str">
        <f>IF(H921&gt;0,"Ada","Tidak Ada")</f>
        <v>Ada</v>
      </c>
      <c r="I1909" s="216"/>
      <c r="J1909" s="199" t="s">
        <v>3794</v>
      </c>
      <c r="K1909" s="388"/>
    </row>
    <row r="1910" spans="1:11" ht="15" customHeight="1" x14ac:dyDescent="0.25">
      <c r="A1910" s="249"/>
      <c r="B1910" s="249"/>
      <c r="C1910" s="244" t="s">
        <v>3795</v>
      </c>
      <c r="D1910" s="244"/>
      <c r="E1910" s="107">
        <f t="shared" si="163"/>
        <v>1757</v>
      </c>
      <c r="F1910" s="356"/>
      <c r="G1910" s="249" t="s">
        <v>45</v>
      </c>
      <c r="H1910" s="249" t="str">
        <f>IF(H922&gt;0,"Ada","Tidak Ada")</f>
        <v>Tidak Ada</v>
      </c>
      <c r="I1910" s="216"/>
      <c r="J1910" s="199" t="s">
        <v>3796</v>
      </c>
      <c r="K1910" s="388"/>
    </row>
    <row r="1911" spans="1:11" ht="15" customHeight="1" x14ac:dyDescent="0.25">
      <c r="A1911" s="249"/>
      <c r="B1911" s="249"/>
      <c r="C1911" s="244" t="s">
        <v>3797</v>
      </c>
      <c r="D1911" s="244"/>
      <c r="E1911" s="107">
        <f t="shared" si="163"/>
        <v>1758</v>
      </c>
      <c r="F1911" s="356"/>
      <c r="G1911" s="249" t="s">
        <v>45</v>
      </c>
      <c r="H1911" s="249" t="str">
        <f>IF(H923&gt;0,"Ada","Tidak Ada")</f>
        <v>Tidak Ada</v>
      </c>
      <c r="I1911" s="216"/>
      <c r="J1911" s="199" t="s">
        <v>3798</v>
      </c>
      <c r="K1911" s="388"/>
    </row>
    <row r="1912" spans="1:11" ht="15" customHeight="1" x14ac:dyDescent="0.25">
      <c r="A1912" s="249"/>
      <c r="B1912" s="249"/>
      <c r="C1912" s="244" t="s">
        <v>3799</v>
      </c>
      <c r="D1912" s="244"/>
      <c r="E1912" s="107">
        <f t="shared" si="163"/>
        <v>1759</v>
      </c>
      <c r="F1912" s="356"/>
      <c r="G1912" s="249" t="s">
        <v>45</v>
      </c>
      <c r="H1912" s="249" t="str">
        <f>IF(H924&gt;0,"Ada","Tidak Ada")</f>
        <v>Tidak Ada</v>
      </c>
      <c r="I1912" s="216"/>
      <c r="J1912" s="199" t="s">
        <v>3800</v>
      </c>
      <c r="K1912" s="388"/>
    </row>
    <row r="1913" spans="1:11" ht="30" customHeight="1" x14ac:dyDescent="0.25">
      <c r="A1913" s="214"/>
      <c r="B1913" s="361" t="s">
        <v>3580</v>
      </c>
      <c r="C1913" s="360" t="s">
        <v>3801</v>
      </c>
      <c r="D1913" s="360"/>
      <c r="E1913" s="107">
        <f t="shared" si="163"/>
        <v>1760</v>
      </c>
      <c r="F1913" s="413"/>
      <c r="G1913" s="233" t="s">
        <v>45</v>
      </c>
      <c r="H1913" s="412" t="s">
        <v>3802</v>
      </c>
      <c r="I1913" s="216"/>
      <c r="J1913" s="202"/>
      <c r="K1913" s="388"/>
    </row>
    <row r="1914" spans="1:11" ht="15" customHeight="1" x14ac:dyDescent="0.25">
      <c r="A1914" s="565">
        <v>15</v>
      </c>
      <c r="B1914" s="566"/>
      <c r="C1914" s="362" t="s">
        <v>3803</v>
      </c>
      <c r="D1914" s="362"/>
      <c r="E1914" s="133"/>
      <c r="F1914" s="233"/>
      <c r="G1914" s="233"/>
      <c r="H1914" s="233"/>
      <c r="I1914" s="216"/>
      <c r="J1914" s="202"/>
      <c r="K1914" s="388"/>
    </row>
    <row r="1915" spans="1:11" ht="30" customHeight="1" x14ac:dyDescent="0.25">
      <c r="A1915" s="248"/>
      <c r="B1915" s="249" t="s">
        <v>3564</v>
      </c>
      <c r="C1915" s="244" t="s">
        <v>3804</v>
      </c>
      <c r="D1915" s="244"/>
      <c r="E1915" s="107">
        <f>E1913+1</f>
        <v>1761</v>
      </c>
      <c r="F1915" s="356"/>
      <c r="G1915" s="249" t="s">
        <v>45</v>
      </c>
      <c r="H1915" s="249">
        <f>IF(H931=0,1,IF(H931=2,3,5))</f>
        <v>5</v>
      </c>
      <c r="I1915" s="206"/>
      <c r="J1915" s="199" t="s">
        <v>3805</v>
      </c>
      <c r="K1915" s="388"/>
    </row>
    <row r="1916" spans="1:11" ht="30" customHeight="1" x14ac:dyDescent="0.25">
      <c r="A1916" s="214"/>
      <c r="B1916" s="214" t="s">
        <v>3567</v>
      </c>
      <c r="C1916" s="215" t="s">
        <v>3806</v>
      </c>
      <c r="D1916" s="215"/>
      <c r="E1916" s="107">
        <f>E1915+1</f>
        <v>1762</v>
      </c>
      <c r="F1916" s="413"/>
      <c r="G1916" s="233" t="s">
        <v>45</v>
      </c>
      <c r="H1916" s="412">
        <v>5</v>
      </c>
      <c r="I1916" s="206"/>
      <c r="J1916" s="202"/>
      <c r="K1916" s="462" t="s">
        <v>3807</v>
      </c>
    </row>
    <row r="1917" spans="1:11" ht="30" customHeight="1" x14ac:dyDescent="0.25">
      <c r="A1917" s="214"/>
      <c r="B1917" s="214" t="s">
        <v>3570</v>
      </c>
      <c r="C1917" s="215" t="s">
        <v>3808</v>
      </c>
      <c r="D1917" s="215"/>
      <c r="E1917" s="133"/>
      <c r="F1917" s="233"/>
      <c r="G1917" s="233"/>
      <c r="H1917" s="233"/>
      <c r="I1917" s="206"/>
      <c r="J1917" s="202"/>
      <c r="K1917" s="388"/>
    </row>
    <row r="1918" spans="1:11" ht="15" customHeight="1" x14ac:dyDescent="0.25">
      <c r="A1918" s="249"/>
      <c r="B1918" s="249"/>
      <c r="C1918" s="244" t="s">
        <v>3809</v>
      </c>
      <c r="D1918" s="244"/>
      <c r="E1918" s="107">
        <f>E1916+1</f>
        <v>1763</v>
      </c>
      <c r="F1918" s="356" t="s">
        <v>47</v>
      </c>
      <c r="G1918" s="249" t="s">
        <v>45</v>
      </c>
      <c r="H1918" s="249" t="str">
        <f>IF(H932=0,"Tidak Ada","Ada")</f>
        <v>Ada</v>
      </c>
      <c r="I1918" s="207"/>
      <c r="J1918" s="199" t="s">
        <v>3810</v>
      </c>
      <c r="K1918" s="388"/>
    </row>
    <row r="1919" spans="1:11" ht="15" customHeight="1" x14ac:dyDescent="0.25">
      <c r="A1919" s="249"/>
      <c r="B1919" s="249"/>
      <c r="C1919" s="244" t="s">
        <v>3811</v>
      </c>
      <c r="D1919" s="244"/>
      <c r="E1919" s="107">
        <f>E1918+1</f>
        <v>1764</v>
      </c>
      <c r="F1919" s="356" t="s">
        <v>47</v>
      </c>
      <c r="G1919" s="249" t="s">
        <v>45</v>
      </c>
      <c r="H1919" s="249" t="str">
        <f>IF(H934=0,"Tidak Ada","Ada")</f>
        <v>Ada</v>
      </c>
      <c r="I1919" s="207"/>
      <c r="J1919" s="199" t="s">
        <v>3812</v>
      </c>
      <c r="K1919" s="388"/>
    </row>
    <row r="1920" spans="1:11" ht="15" customHeight="1" x14ac:dyDescent="0.25">
      <c r="A1920" s="249"/>
      <c r="B1920" s="249"/>
      <c r="C1920" s="244" t="s">
        <v>3813</v>
      </c>
      <c r="D1920" s="244"/>
      <c r="E1920" s="107">
        <f>E1919+1</f>
        <v>1765</v>
      </c>
      <c r="F1920" s="356" t="s">
        <v>47</v>
      </c>
      <c r="G1920" s="249" t="s">
        <v>45</v>
      </c>
      <c r="H1920" s="249" t="str">
        <f>IF(H936=0,"Tidak Ada","Ada")</f>
        <v>Ada</v>
      </c>
      <c r="I1920" s="207"/>
      <c r="J1920" s="199" t="s">
        <v>3814</v>
      </c>
      <c r="K1920" s="388"/>
    </row>
    <row r="1921" spans="1:11" ht="15" customHeight="1" x14ac:dyDescent="0.25">
      <c r="A1921" s="214"/>
      <c r="B1921" s="214"/>
      <c r="C1921" s="215" t="s">
        <v>3815</v>
      </c>
      <c r="D1921" s="215"/>
      <c r="E1921" s="107">
        <f>E1920+1</f>
        <v>1766</v>
      </c>
      <c r="F1921" s="413" t="s">
        <v>47</v>
      </c>
      <c r="G1921" s="233" t="s">
        <v>45</v>
      </c>
      <c r="H1921" s="412" t="s">
        <v>148</v>
      </c>
      <c r="I1921" s="207"/>
      <c r="J1921" s="202"/>
      <c r="K1921" s="388"/>
    </row>
    <row r="1922" spans="1:11" ht="15" customHeight="1" x14ac:dyDescent="0.25">
      <c r="A1922" s="214"/>
      <c r="B1922" s="214"/>
      <c r="C1922" s="215" t="s">
        <v>3816</v>
      </c>
      <c r="D1922" s="215"/>
      <c r="E1922" s="107">
        <f>E1921+1</f>
        <v>1767</v>
      </c>
      <c r="F1922" s="413" t="s">
        <v>47</v>
      </c>
      <c r="G1922" s="233" t="s">
        <v>45</v>
      </c>
      <c r="H1922" s="412" t="s">
        <v>148</v>
      </c>
      <c r="I1922" s="207"/>
      <c r="J1922" s="202"/>
      <c r="K1922" s="388"/>
    </row>
    <row r="1923" spans="1:11" ht="15" customHeight="1" x14ac:dyDescent="0.25">
      <c r="A1923" s="565">
        <v>16</v>
      </c>
      <c r="B1923" s="566"/>
      <c r="C1923" s="354" t="s">
        <v>3817</v>
      </c>
      <c r="D1923" s="354"/>
      <c r="E1923" s="133"/>
      <c r="F1923" s="233"/>
      <c r="G1923" s="233"/>
      <c r="H1923" s="233"/>
      <c r="I1923" s="203"/>
      <c r="J1923" s="202"/>
      <c r="K1923" s="388"/>
    </row>
    <row r="1924" spans="1:11" ht="15" customHeight="1" x14ac:dyDescent="0.25">
      <c r="A1924" s="249"/>
      <c r="B1924" s="249" t="s">
        <v>3564</v>
      </c>
      <c r="C1924" s="244" t="s">
        <v>3818</v>
      </c>
      <c r="D1924" s="244"/>
      <c r="E1924" s="107">
        <f>E1925+1</f>
        <v>1769</v>
      </c>
      <c r="F1924" s="433"/>
      <c r="G1924" s="249" t="s">
        <v>3819</v>
      </c>
      <c r="H1924" s="363">
        <f>H869</f>
        <v>23</v>
      </c>
      <c r="I1924" s="203"/>
      <c r="J1924" s="199" t="s">
        <v>3820</v>
      </c>
      <c r="K1924" s="388"/>
    </row>
    <row r="1925" spans="1:11" ht="15" customHeight="1" x14ac:dyDescent="0.25">
      <c r="A1925" s="249"/>
      <c r="B1925" s="249" t="s">
        <v>3567</v>
      </c>
      <c r="C1925" s="244" t="s">
        <v>3821</v>
      </c>
      <c r="D1925" s="244"/>
      <c r="E1925" s="107">
        <f>E1922+1</f>
        <v>1768</v>
      </c>
      <c r="F1925" s="356" t="s">
        <v>47</v>
      </c>
      <c r="G1925" s="249" t="s">
        <v>45</v>
      </c>
      <c r="H1925" s="249" t="str">
        <f>IF(H1924&gt;0,"Ada","Tidak Ada")</f>
        <v>Ada</v>
      </c>
      <c r="I1925" s="207"/>
      <c r="J1925" s="202"/>
      <c r="K1925" s="388" t="s">
        <v>3822</v>
      </c>
    </row>
    <row r="1926" spans="1:11" ht="15" customHeight="1" x14ac:dyDescent="0.25">
      <c r="A1926" s="249"/>
      <c r="B1926" s="249" t="s">
        <v>3570</v>
      </c>
      <c r="C1926" s="244" t="s">
        <v>3817</v>
      </c>
      <c r="D1926" s="249" t="s">
        <v>3595</v>
      </c>
      <c r="E1926" s="107">
        <f>E1924+1</f>
        <v>1770</v>
      </c>
      <c r="F1926" s="433"/>
      <c r="G1926" s="251">
        <f>H1924/H1719</f>
        <v>1.9246861924685998E-2</v>
      </c>
      <c r="H1926" s="243">
        <f>IF(G1926&lt;=20%,5,
IF(AND(G1926&gt;20%,G1926&lt;=40%),4,
IF(AND(G1926&gt;40%,G1926&lt;=60%),3,
IF(AND(G1926&gt;60%,G1926&lt;=80%),2,
IF(AND(G1926&gt;80%,G1926&lt;=100%),1,"Tidak Teridentifikasi")))))</f>
        <v>5</v>
      </c>
      <c r="I1926" s="475" t="s">
        <v>3744</v>
      </c>
      <c r="J1926" s="202"/>
      <c r="K1926" s="388"/>
    </row>
    <row r="1927" spans="1:11" ht="15" customHeight="1" x14ac:dyDescent="0.25">
      <c r="A1927" s="582">
        <v>2</v>
      </c>
      <c r="B1927" s="566"/>
      <c r="C1927" s="364" t="s">
        <v>3823</v>
      </c>
      <c r="D1927" s="364"/>
      <c r="E1927" s="133"/>
      <c r="F1927" s="406"/>
      <c r="G1927" s="406"/>
      <c r="H1927" s="406"/>
      <c r="I1927" s="205"/>
      <c r="J1927" s="202"/>
      <c r="K1927" s="388"/>
    </row>
    <row r="1928" spans="1:11" ht="15" customHeight="1" x14ac:dyDescent="0.25">
      <c r="A1928" s="582" t="s">
        <v>3824</v>
      </c>
      <c r="B1928" s="566"/>
      <c r="C1928" s="364" t="s">
        <v>3825</v>
      </c>
      <c r="D1928" s="364"/>
      <c r="E1928" s="133"/>
      <c r="F1928" s="406"/>
      <c r="G1928" s="406"/>
      <c r="H1928" s="406"/>
      <c r="I1928" s="205"/>
      <c r="J1928" s="202"/>
      <c r="K1928" s="388"/>
    </row>
    <row r="1929" spans="1:11" ht="15" customHeight="1" x14ac:dyDescent="0.25">
      <c r="A1929" s="582">
        <v>17</v>
      </c>
      <c r="B1929" s="566"/>
      <c r="C1929" s="365" t="s">
        <v>3826</v>
      </c>
      <c r="D1929" s="365"/>
      <c r="E1929" s="133"/>
      <c r="F1929" s="406"/>
      <c r="G1929" s="406"/>
      <c r="H1929" s="406"/>
      <c r="I1929" s="205"/>
      <c r="J1929" s="202"/>
      <c r="K1929" s="388"/>
    </row>
    <row r="1930" spans="1:11" ht="30" customHeight="1" x14ac:dyDescent="0.25">
      <c r="A1930" s="366"/>
      <c r="B1930" s="366" t="s">
        <v>3564</v>
      </c>
      <c r="C1930" s="367" t="s">
        <v>3827</v>
      </c>
      <c r="D1930" s="367"/>
      <c r="E1930" s="107">
        <f>E1926+1</f>
        <v>1771</v>
      </c>
      <c r="F1930" s="406"/>
      <c r="G1930" s="408" t="s">
        <v>45</v>
      </c>
      <c r="H1930" s="409">
        <v>5</v>
      </c>
      <c r="I1930" s="206"/>
      <c r="J1930" s="202"/>
      <c r="K1930" s="388"/>
    </row>
    <row r="1931" spans="1:11" ht="30" customHeight="1" x14ac:dyDescent="0.25">
      <c r="A1931" s="366"/>
      <c r="B1931" s="366" t="s">
        <v>3567</v>
      </c>
      <c r="C1931" s="368" t="s">
        <v>3828</v>
      </c>
      <c r="D1931" s="368"/>
      <c r="E1931" s="107">
        <f>E1930+1</f>
        <v>1772</v>
      </c>
      <c r="F1931" s="406"/>
      <c r="G1931" s="408" t="s">
        <v>33</v>
      </c>
      <c r="H1931" s="409" t="s">
        <v>3829</v>
      </c>
      <c r="I1931" s="206"/>
      <c r="J1931" s="202"/>
      <c r="K1931" s="388"/>
    </row>
    <row r="1932" spans="1:11" ht="30" customHeight="1" x14ac:dyDescent="0.25">
      <c r="A1932" s="366"/>
      <c r="B1932" s="366" t="s">
        <v>3570</v>
      </c>
      <c r="C1932" s="367" t="s">
        <v>3830</v>
      </c>
      <c r="D1932" s="367"/>
      <c r="E1932" s="107">
        <f>E1931+1</f>
        <v>1773</v>
      </c>
      <c r="F1932" s="406"/>
      <c r="G1932" s="408" t="s">
        <v>45</v>
      </c>
      <c r="H1932" s="409">
        <v>3</v>
      </c>
      <c r="I1932" s="206"/>
      <c r="J1932" s="202"/>
      <c r="K1932" s="388"/>
    </row>
    <row r="1933" spans="1:11" ht="30" customHeight="1" x14ac:dyDescent="0.25">
      <c r="A1933" s="366"/>
      <c r="B1933" s="366" t="s">
        <v>3572</v>
      </c>
      <c r="C1933" s="368" t="s">
        <v>3831</v>
      </c>
      <c r="D1933" s="368"/>
      <c r="E1933" s="107">
        <f>E1932+1</f>
        <v>1774</v>
      </c>
      <c r="F1933" s="406"/>
      <c r="G1933" s="408" t="s">
        <v>33</v>
      </c>
      <c r="H1933" s="409" t="s">
        <v>3829</v>
      </c>
      <c r="I1933" s="206"/>
      <c r="J1933" s="202"/>
      <c r="K1933" s="388"/>
    </row>
    <row r="1934" spans="1:11" ht="15" customHeight="1" x14ac:dyDescent="0.25">
      <c r="A1934" s="582">
        <v>18</v>
      </c>
      <c r="B1934" s="566"/>
      <c r="C1934" s="365" t="s">
        <v>3832</v>
      </c>
      <c r="D1934" s="365"/>
      <c r="E1934" s="133"/>
      <c r="F1934" s="406"/>
      <c r="G1934" s="406"/>
      <c r="H1934" s="406"/>
      <c r="I1934" s="205"/>
      <c r="J1934" s="202"/>
      <c r="K1934" s="388"/>
    </row>
    <row r="1935" spans="1:11" ht="15" customHeight="1" x14ac:dyDescent="0.25">
      <c r="A1935" s="370"/>
      <c r="B1935" s="370" t="s">
        <v>3564</v>
      </c>
      <c r="C1935" s="371" t="s">
        <v>3833</v>
      </c>
      <c r="D1935" s="371"/>
      <c r="E1935" s="107">
        <f>E1933+1</f>
        <v>1775</v>
      </c>
      <c r="F1935" s="370"/>
      <c r="G1935" s="370" t="s">
        <v>45</v>
      </c>
      <c r="H1935" s="372">
        <f>IF(H732=1,5,1)</f>
        <v>5</v>
      </c>
      <c r="I1935" s="206"/>
      <c r="J1935" s="212" t="s">
        <v>3834</v>
      </c>
      <c r="K1935" s="388"/>
    </row>
    <row r="1936" spans="1:11" ht="15" customHeight="1" x14ac:dyDescent="0.25">
      <c r="A1936" s="366"/>
      <c r="B1936" s="369" t="s">
        <v>3567</v>
      </c>
      <c r="C1936" s="368" t="s">
        <v>3835</v>
      </c>
      <c r="D1936" s="368"/>
      <c r="E1936" s="133"/>
      <c r="F1936" s="233"/>
      <c r="G1936" s="408"/>
      <c r="H1936" s="408"/>
      <c r="I1936" s="206"/>
      <c r="J1936" s="416">
        <v>1</v>
      </c>
      <c r="K1936" s="388"/>
    </row>
    <row r="1937" spans="1:11" ht="15" customHeight="1" x14ac:dyDescent="0.25">
      <c r="A1937" s="366"/>
      <c r="B1937" s="366"/>
      <c r="C1937" s="368" t="s">
        <v>3836</v>
      </c>
      <c r="D1937" s="368"/>
      <c r="E1937" s="107">
        <f>E1935+1</f>
        <v>1776</v>
      </c>
      <c r="F1937" s="233"/>
      <c r="G1937" s="233" t="s">
        <v>45</v>
      </c>
      <c r="H1937" s="412" t="s">
        <v>148</v>
      </c>
      <c r="I1937" s="207"/>
      <c r="J1937" s="416">
        <v>3</v>
      </c>
      <c r="K1937" s="388"/>
    </row>
    <row r="1938" spans="1:11" ht="15" customHeight="1" x14ac:dyDescent="0.25">
      <c r="A1938" s="366"/>
      <c r="B1938" s="366"/>
      <c r="C1938" s="368" t="s">
        <v>3837</v>
      </c>
      <c r="D1938" s="368"/>
      <c r="E1938" s="107">
        <f>E1937+1</f>
        <v>1777</v>
      </c>
      <c r="F1938" s="233"/>
      <c r="G1938" s="233" t="s">
        <v>45</v>
      </c>
      <c r="H1938" s="412" t="s">
        <v>148</v>
      </c>
      <c r="I1938" s="207"/>
      <c r="J1938" s="416">
        <v>5</v>
      </c>
      <c r="K1938" s="388"/>
    </row>
    <row r="1939" spans="1:11" ht="15" customHeight="1" x14ac:dyDescent="0.25">
      <c r="A1939" s="366"/>
      <c r="B1939" s="366"/>
      <c r="C1939" s="368" t="s">
        <v>3838</v>
      </c>
      <c r="D1939" s="368"/>
      <c r="E1939" s="107">
        <f>E1938+1</f>
        <v>1778</v>
      </c>
      <c r="F1939" s="233"/>
      <c r="G1939" s="233" t="s">
        <v>45</v>
      </c>
      <c r="H1939" s="412" t="s">
        <v>64</v>
      </c>
      <c r="I1939" s="207"/>
      <c r="J1939" s="202"/>
      <c r="K1939" s="388"/>
    </row>
    <row r="1940" spans="1:11" ht="15" customHeight="1" x14ac:dyDescent="0.25">
      <c r="A1940" s="366"/>
      <c r="B1940" s="366" t="s">
        <v>3570</v>
      </c>
      <c r="C1940" s="373" t="s">
        <v>3839</v>
      </c>
      <c r="D1940" s="373"/>
      <c r="E1940" s="107">
        <f>E1939+1</f>
        <v>1779</v>
      </c>
      <c r="F1940" s="233"/>
      <c r="G1940" s="233" t="s">
        <v>45</v>
      </c>
      <c r="H1940" s="412">
        <v>5</v>
      </c>
      <c r="I1940" s="206"/>
      <c r="J1940" s="212" t="s">
        <v>3840</v>
      </c>
      <c r="K1940" s="388" t="s">
        <v>3841</v>
      </c>
    </row>
    <row r="1941" spans="1:11" ht="15" customHeight="1" x14ac:dyDescent="0.25">
      <c r="A1941" s="366"/>
      <c r="B1941" s="366" t="s">
        <v>3572</v>
      </c>
      <c r="C1941" s="373" t="s">
        <v>3842</v>
      </c>
      <c r="D1941" s="373"/>
      <c r="E1941" s="107">
        <f>E1940+1</f>
        <v>1780</v>
      </c>
      <c r="F1941" s="233"/>
      <c r="G1941" s="233" t="s">
        <v>45</v>
      </c>
      <c r="H1941" s="412">
        <v>5</v>
      </c>
      <c r="I1941" s="206"/>
      <c r="J1941" s="202"/>
      <c r="K1941" s="388" t="s">
        <v>3843</v>
      </c>
    </row>
    <row r="1942" spans="1:11" ht="15" customHeight="1" x14ac:dyDescent="0.25">
      <c r="A1942" s="582">
        <v>19</v>
      </c>
      <c r="B1942" s="566"/>
      <c r="C1942" s="365" t="s">
        <v>3844</v>
      </c>
      <c r="D1942" s="365"/>
      <c r="E1942" s="133"/>
      <c r="F1942" s="233"/>
      <c r="G1942" s="233"/>
      <c r="H1942" s="233"/>
      <c r="I1942" s="205"/>
      <c r="J1942" s="202"/>
      <c r="K1942" s="388"/>
    </row>
    <row r="1943" spans="1:11" ht="30" customHeight="1" x14ac:dyDescent="0.25">
      <c r="A1943" s="366"/>
      <c r="B1943" s="366" t="s">
        <v>3564</v>
      </c>
      <c r="C1943" s="373" t="s">
        <v>3845</v>
      </c>
      <c r="D1943" s="373"/>
      <c r="E1943" s="107">
        <f>E1941+1</f>
        <v>1781</v>
      </c>
      <c r="F1943" s="233"/>
      <c r="G1943" s="233" t="s">
        <v>33</v>
      </c>
      <c r="H1943" s="412" t="s">
        <v>148</v>
      </c>
      <c r="I1943" s="206"/>
      <c r="J1943" s="202"/>
      <c r="K1943" s="388"/>
    </row>
    <row r="1944" spans="1:11" ht="15" customHeight="1" x14ac:dyDescent="0.25">
      <c r="A1944" s="366"/>
      <c r="B1944" s="374"/>
      <c r="C1944" s="368" t="s">
        <v>3846</v>
      </c>
      <c r="D1944" s="368"/>
      <c r="E1944" s="107">
        <f t="shared" ref="E1944:E1952" si="164">E1943+1</f>
        <v>1782</v>
      </c>
      <c r="F1944" s="233"/>
      <c r="G1944" s="233" t="s">
        <v>45</v>
      </c>
      <c r="H1944" s="412">
        <v>5</v>
      </c>
      <c r="I1944" s="456" t="s">
        <v>3847</v>
      </c>
      <c r="J1944" s="202"/>
      <c r="K1944" s="388"/>
    </row>
    <row r="1945" spans="1:11" ht="15" customHeight="1" x14ac:dyDescent="0.25">
      <c r="A1945" s="366"/>
      <c r="B1945" s="374"/>
      <c r="C1945" s="368" t="s">
        <v>3848</v>
      </c>
      <c r="D1945" s="368"/>
      <c r="E1945" s="107">
        <f t="shared" si="164"/>
        <v>1783</v>
      </c>
      <c r="F1945" s="233"/>
      <c r="G1945" s="233" t="s">
        <v>45</v>
      </c>
      <c r="H1945" s="412">
        <v>4</v>
      </c>
      <c r="I1945" s="456" t="s">
        <v>3847</v>
      </c>
      <c r="J1945" s="202"/>
      <c r="K1945" s="388"/>
    </row>
    <row r="1946" spans="1:11" ht="15" customHeight="1" x14ac:dyDescent="0.25">
      <c r="A1946" s="366"/>
      <c r="B1946" s="374"/>
      <c r="C1946" s="368" t="s">
        <v>3849</v>
      </c>
      <c r="D1946" s="368"/>
      <c r="E1946" s="107">
        <f t="shared" si="164"/>
        <v>1784</v>
      </c>
      <c r="F1946" s="233"/>
      <c r="G1946" s="233" t="s">
        <v>45</v>
      </c>
      <c r="H1946" s="412">
        <v>5</v>
      </c>
      <c r="I1946" s="456" t="s">
        <v>3847</v>
      </c>
      <c r="J1946" s="202"/>
      <c r="K1946" s="388"/>
    </row>
    <row r="1947" spans="1:11" ht="15" customHeight="1" x14ac:dyDescent="0.25">
      <c r="A1947" s="366"/>
      <c r="B1947" s="374"/>
      <c r="C1947" s="368" t="s">
        <v>3850</v>
      </c>
      <c r="D1947" s="368"/>
      <c r="E1947" s="107">
        <f t="shared" si="164"/>
        <v>1785</v>
      </c>
      <c r="F1947" s="233"/>
      <c r="G1947" s="233" t="s">
        <v>45</v>
      </c>
      <c r="H1947" s="412">
        <v>1</v>
      </c>
      <c r="I1947" s="456" t="s">
        <v>3847</v>
      </c>
      <c r="J1947" s="202"/>
      <c r="K1947" s="388"/>
    </row>
    <row r="1948" spans="1:11" ht="15" customHeight="1" x14ac:dyDescent="0.25">
      <c r="A1948" s="366"/>
      <c r="B1948" s="374"/>
      <c r="C1948" s="368" t="s">
        <v>3851</v>
      </c>
      <c r="D1948" s="368"/>
      <c r="E1948" s="107">
        <f t="shared" si="164"/>
        <v>1786</v>
      </c>
      <c r="F1948" s="233"/>
      <c r="G1948" s="233" t="s">
        <v>45</v>
      </c>
      <c r="H1948" s="412">
        <v>1</v>
      </c>
      <c r="I1948" s="456" t="s">
        <v>3847</v>
      </c>
      <c r="J1948" s="202"/>
      <c r="K1948" s="388"/>
    </row>
    <row r="1949" spans="1:11" ht="15" customHeight="1" x14ac:dyDescent="0.25">
      <c r="A1949" s="366"/>
      <c r="B1949" s="374"/>
      <c r="C1949" s="368" t="s">
        <v>3852</v>
      </c>
      <c r="D1949" s="368"/>
      <c r="E1949" s="107">
        <f t="shared" si="164"/>
        <v>1787</v>
      </c>
      <c r="F1949" s="233"/>
      <c r="G1949" s="233" t="s">
        <v>45</v>
      </c>
      <c r="H1949" s="412">
        <v>5</v>
      </c>
      <c r="I1949" s="456" t="s">
        <v>3847</v>
      </c>
      <c r="J1949" s="202"/>
      <c r="K1949" s="388"/>
    </row>
    <row r="1950" spans="1:11" ht="15" customHeight="1" x14ac:dyDescent="0.25">
      <c r="A1950" s="366"/>
      <c r="B1950" s="374"/>
      <c r="C1950" s="368" t="s">
        <v>3853</v>
      </c>
      <c r="D1950" s="368"/>
      <c r="E1950" s="107">
        <f t="shared" si="164"/>
        <v>1788</v>
      </c>
      <c r="F1950" s="233"/>
      <c r="G1950" s="233" t="s">
        <v>45</v>
      </c>
      <c r="H1950" s="412">
        <v>1</v>
      </c>
      <c r="I1950" s="456" t="s">
        <v>3847</v>
      </c>
      <c r="J1950" s="202"/>
      <c r="K1950" s="388"/>
    </row>
    <row r="1951" spans="1:11" ht="15" customHeight="1" x14ac:dyDescent="0.25">
      <c r="A1951" s="366"/>
      <c r="B1951" s="374"/>
      <c r="C1951" s="368" t="s">
        <v>3854</v>
      </c>
      <c r="D1951" s="368"/>
      <c r="E1951" s="107">
        <f t="shared" si="164"/>
        <v>1789</v>
      </c>
      <c r="F1951" s="233"/>
      <c r="G1951" s="233" t="s">
        <v>45</v>
      </c>
      <c r="H1951" s="412">
        <v>3</v>
      </c>
      <c r="I1951" s="456" t="s">
        <v>3847</v>
      </c>
      <c r="J1951" s="202"/>
      <c r="K1951" s="388"/>
    </row>
    <row r="1952" spans="1:11" ht="15" customHeight="1" x14ac:dyDescent="0.25">
      <c r="A1952" s="370"/>
      <c r="B1952" s="464" t="s">
        <v>3567</v>
      </c>
      <c r="C1952" s="465" t="s">
        <v>3855</v>
      </c>
      <c r="D1952" s="466"/>
      <c r="E1952" s="107">
        <f t="shared" si="164"/>
        <v>1790</v>
      </c>
      <c r="F1952" s="467" t="s">
        <v>3595</v>
      </c>
      <c r="G1952" s="467">
        <f>(H1944+H1945+H1946+H1947+H1948+H1949+H1950+H1951)/8</f>
        <v>3.125</v>
      </c>
      <c r="H1952" s="454">
        <f>IF(G1952&lt;1.5,1,
IF(AND(G1952&gt;=1.5,G1952&lt;2.5),2,
IF(AND(G1952&gt;=2.5,G1952&lt;3.5),3,
IF(AND(G1952&gt;=3.5,G1952&lt;4.5),4,
IF(AND(G1952&gt;=4.5,G1952&lt;=5),5,"Tidak Teridentifikasi")))))</f>
        <v>3</v>
      </c>
      <c r="I1952" s="475" t="s">
        <v>3744</v>
      </c>
      <c r="J1952" s="202"/>
      <c r="K1952" s="388"/>
    </row>
    <row r="1953" spans="1:11" ht="15" customHeight="1" x14ac:dyDescent="0.25">
      <c r="A1953" s="582">
        <v>20</v>
      </c>
      <c r="B1953" s="566"/>
      <c r="C1953" s="375" t="s">
        <v>3856</v>
      </c>
      <c r="D1953" s="375"/>
      <c r="E1953" s="133"/>
      <c r="F1953" s="233"/>
      <c r="G1953" s="233"/>
      <c r="H1953" s="233"/>
      <c r="I1953" s="205"/>
      <c r="J1953" s="202"/>
      <c r="K1953" s="388"/>
    </row>
    <row r="1954" spans="1:11" ht="30" customHeight="1" x14ac:dyDescent="0.25">
      <c r="A1954" s="370"/>
      <c r="B1954" s="370" t="s">
        <v>3564</v>
      </c>
      <c r="C1954" s="371" t="s">
        <v>3857</v>
      </c>
      <c r="D1954" s="371"/>
      <c r="E1954" s="107">
        <f>E1952+1</f>
        <v>1791</v>
      </c>
      <c r="F1954" s="370"/>
      <c r="G1954" s="370" t="s">
        <v>45</v>
      </c>
      <c r="H1954" s="370" t="str">
        <f>IF(H804=0,"Tidak Ada","Ada")</f>
        <v>Ada</v>
      </c>
      <c r="I1954" s="207"/>
      <c r="J1954" s="199" t="s">
        <v>3858</v>
      </c>
      <c r="K1954" s="388"/>
    </row>
    <row r="1955" spans="1:11" ht="30" customHeight="1" x14ac:dyDescent="0.25">
      <c r="A1955" s="366"/>
      <c r="B1955" s="374" t="s">
        <v>3567</v>
      </c>
      <c r="C1955" s="368" t="s">
        <v>3859</v>
      </c>
      <c r="D1955" s="368"/>
      <c r="E1955" s="107">
        <f t="shared" ref="E1955:E1971" si="165">E1954+1</f>
        <v>1792</v>
      </c>
      <c r="F1955" s="233"/>
      <c r="G1955" s="233" t="s">
        <v>33</v>
      </c>
      <c r="H1955" s="412">
        <v>0</v>
      </c>
      <c r="I1955" s="205"/>
      <c r="J1955" s="199"/>
      <c r="K1955" s="388"/>
    </row>
    <row r="1956" spans="1:11" ht="15" customHeight="1" x14ac:dyDescent="0.25">
      <c r="A1956" s="366"/>
      <c r="B1956" s="366" t="s">
        <v>3570</v>
      </c>
      <c r="C1956" s="373" t="s">
        <v>3860</v>
      </c>
      <c r="D1956" s="373"/>
      <c r="E1956" s="107">
        <f t="shared" si="165"/>
        <v>1793</v>
      </c>
      <c r="F1956" s="233"/>
      <c r="G1956" s="233" t="s">
        <v>45</v>
      </c>
      <c r="H1956" s="412" t="s">
        <v>64</v>
      </c>
      <c r="I1956" s="207"/>
      <c r="J1956" s="212"/>
      <c r="K1956" s="212" t="s">
        <v>3861</v>
      </c>
    </row>
    <row r="1957" spans="1:11" ht="15" customHeight="1" x14ac:dyDescent="0.25">
      <c r="A1957" s="370"/>
      <c r="B1957" s="370"/>
      <c r="C1957" s="371" t="s">
        <v>3862</v>
      </c>
      <c r="D1957" s="371"/>
      <c r="E1957" s="107">
        <f t="shared" si="165"/>
        <v>1794</v>
      </c>
      <c r="F1957" s="433"/>
      <c r="G1957" s="370" t="s">
        <v>1729</v>
      </c>
      <c r="H1957" s="370">
        <f>H805</f>
        <v>0</v>
      </c>
      <c r="I1957" s="205"/>
      <c r="J1957" s="212" t="s">
        <v>3863</v>
      </c>
      <c r="K1957" s="388"/>
    </row>
    <row r="1958" spans="1:11" ht="15" customHeight="1" x14ac:dyDescent="0.25">
      <c r="A1958" s="366"/>
      <c r="B1958" s="366" t="s">
        <v>3572</v>
      </c>
      <c r="C1958" s="373" t="s">
        <v>3864</v>
      </c>
      <c r="D1958" s="373"/>
      <c r="E1958" s="107">
        <f t="shared" si="165"/>
        <v>1795</v>
      </c>
      <c r="F1958" s="233"/>
      <c r="G1958" s="233" t="s">
        <v>45</v>
      </c>
      <c r="H1958" s="412" t="s">
        <v>64</v>
      </c>
      <c r="I1958" s="207"/>
      <c r="J1958" s="212"/>
      <c r="K1958" s="212" t="s">
        <v>3861</v>
      </c>
    </row>
    <row r="1959" spans="1:11" ht="30" customHeight="1" x14ac:dyDescent="0.25">
      <c r="A1959" s="370"/>
      <c r="B1959" s="370"/>
      <c r="C1959" s="371" t="s">
        <v>3865</v>
      </c>
      <c r="D1959" s="371"/>
      <c r="E1959" s="107">
        <f t="shared" si="165"/>
        <v>1796</v>
      </c>
      <c r="F1959" s="433"/>
      <c r="G1959" s="370" t="s">
        <v>1729</v>
      </c>
      <c r="H1959" s="370">
        <f>H806</f>
        <v>0</v>
      </c>
      <c r="I1959" s="205"/>
      <c r="J1959" s="212" t="s">
        <v>3866</v>
      </c>
      <c r="K1959" s="388"/>
    </row>
    <row r="1960" spans="1:11" ht="30" customHeight="1" x14ac:dyDescent="0.25">
      <c r="A1960" s="366"/>
      <c r="B1960" s="366" t="s">
        <v>3576</v>
      </c>
      <c r="C1960" s="373" t="s">
        <v>3867</v>
      </c>
      <c r="D1960" s="373"/>
      <c r="E1960" s="107">
        <f t="shared" si="165"/>
        <v>1797</v>
      </c>
      <c r="F1960" s="233"/>
      <c r="G1960" s="233" t="s">
        <v>45</v>
      </c>
      <c r="H1960" s="412" t="s">
        <v>64</v>
      </c>
      <c r="I1960" s="207"/>
      <c r="J1960" s="212"/>
      <c r="K1960" s="212" t="s">
        <v>3861</v>
      </c>
    </row>
    <row r="1961" spans="1:11" ht="30" customHeight="1" x14ac:dyDescent="0.25">
      <c r="A1961" s="370"/>
      <c r="B1961" s="370"/>
      <c r="C1961" s="371" t="s">
        <v>3868</v>
      </c>
      <c r="D1961" s="371"/>
      <c r="E1961" s="107">
        <f t="shared" si="165"/>
        <v>1798</v>
      </c>
      <c r="F1961" s="433"/>
      <c r="G1961" s="370" t="s">
        <v>1729</v>
      </c>
      <c r="H1961" s="370">
        <f>H807</f>
        <v>0</v>
      </c>
      <c r="I1961"/>
      <c r="J1961" s="212" t="s">
        <v>3869</v>
      </c>
      <c r="K1961" s="388"/>
    </row>
    <row r="1962" spans="1:11" ht="30" customHeight="1" x14ac:dyDescent="0.25">
      <c r="A1962" s="366"/>
      <c r="B1962" s="366" t="s">
        <v>3580</v>
      </c>
      <c r="C1962" s="373" t="s">
        <v>3870</v>
      </c>
      <c r="D1962" s="373"/>
      <c r="E1962" s="107">
        <f t="shared" si="165"/>
        <v>1799</v>
      </c>
      <c r="F1962" s="233"/>
      <c r="G1962" s="233" t="s">
        <v>45</v>
      </c>
      <c r="H1962" s="412" t="s">
        <v>64</v>
      </c>
      <c r="I1962" s="207"/>
      <c r="J1962" s="212"/>
      <c r="K1962" s="212" t="s">
        <v>3861</v>
      </c>
    </row>
    <row r="1963" spans="1:11" ht="30" customHeight="1" x14ac:dyDescent="0.25">
      <c r="A1963" s="370"/>
      <c r="B1963" s="370"/>
      <c r="C1963" s="371" t="s">
        <v>3871</v>
      </c>
      <c r="D1963" s="371"/>
      <c r="E1963" s="107">
        <f t="shared" si="165"/>
        <v>1800</v>
      </c>
      <c r="F1963" s="433"/>
      <c r="G1963" s="370" t="s">
        <v>1729</v>
      </c>
      <c r="H1963" s="370">
        <f>H808</f>
        <v>0</v>
      </c>
      <c r="I1963"/>
      <c r="J1963" s="212" t="s">
        <v>3872</v>
      </c>
      <c r="K1963" s="388"/>
    </row>
    <row r="1964" spans="1:11" ht="15" customHeight="1" x14ac:dyDescent="0.25">
      <c r="A1964" s="366"/>
      <c r="B1964" s="366" t="s">
        <v>3582</v>
      </c>
      <c r="C1964" s="373" t="s">
        <v>3873</v>
      </c>
      <c r="D1964" s="373"/>
      <c r="E1964" s="107">
        <f t="shared" si="165"/>
        <v>1801</v>
      </c>
      <c r="F1964" s="233"/>
      <c r="G1964" s="233" t="s">
        <v>45</v>
      </c>
      <c r="H1964" s="412" t="s">
        <v>64</v>
      </c>
      <c r="I1964" s="207"/>
      <c r="J1964" s="212"/>
      <c r="K1964" s="212" t="s">
        <v>3861</v>
      </c>
    </row>
    <row r="1965" spans="1:11" ht="30" customHeight="1" x14ac:dyDescent="0.25">
      <c r="A1965" s="370"/>
      <c r="B1965" s="370"/>
      <c r="C1965" s="371" t="s">
        <v>3874</v>
      </c>
      <c r="D1965" s="371"/>
      <c r="E1965" s="107">
        <f t="shared" si="165"/>
        <v>1802</v>
      </c>
      <c r="F1965" s="433"/>
      <c r="G1965" s="370" t="s">
        <v>1729</v>
      </c>
      <c r="H1965" s="370">
        <f>H809</f>
        <v>0</v>
      </c>
      <c r="I1965"/>
      <c r="J1965" s="212" t="s">
        <v>3875</v>
      </c>
      <c r="K1965" s="388"/>
    </row>
    <row r="1966" spans="1:11" ht="15" customHeight="1" x14ac:dyDescent="0.25">
      <c r="A1966" s="366"/>
      <c r="B1966" s="366" t="s">
        <v>3584</v>
      </c>
      <c r="C1966" s="373" t="s">
        <v>3876</v>
      </c>
      <c r="D1966" s="373"/>
      <c r="E1966" s="107">
        <f t="shared" si="165"/>
        <v>1803</v>
      </c>
      <c r="F1966" s="233"/>
      <c r="G1966" s="233" t="s">
        <v>45</v>
      </c>
      <c r="H1966" s="412" t="s">
        <v>64</v>
      </c>
      <c r="I1966" s="207"/>
      <c r="J1966" s="212"/>
      <c r="K1966" s="212" t="s">
        <v>3861</v>
      </c>
    </row>
    <row r="1967" spans="1:11" ht="15" customHeight="1" x14ac:dyDescent="0.25">
      <c r="A1967" s="370"/>
      <c r="B1967" s="370"/>
      <c r="C1967" s="371" t="s">
        <v>3877</v>
      </c>
      <c r="D1967" s="371"/>
      <c r="E1967" s="107">
        <f t="shared" si="165"/>
        <v>1804</v>
      </c>
      <c r="F1967" s="433"/>
      <c r="G1967" s="370" t="s">
        <v>1729</v>
      </c>
      <c r="H1967" s="370">
        <f>H810</f>
        <v>0</v>
      </c>
      <c r="I1967"/>
      <c r="J1967" s="212" t="s">
        <v>3878</v>
      </c>
      <c r="K1967" s="388"/>
    </row>
    <row r="1968" spans="1:11" ht="15" customHeight="1" x14ac:dyDescent="0.25">
      <c r="A1968" s="366"/>
      <c r="B1968" s="366" t="s">
        <v>3586</v>
      </c>
      <c r="C1968" s="373" t="s">
        <v>3879</v>
      </c>
      <c r="D1968" s="373"/>
      <c r="E1968" s="107">
        <f t="shared" si="165"/>
        <v>1805</v>
      </c>
      <c r="F1968" s="233"/>
      <c r="G1968" s="233" t="s">
        <v>45</v>
      </c>
      <c r="H1968" s="412" t="s">
        <v>64</v>
      </c>
      <c r="I1968" s="207"/>
      <c r="J1968" s="212"/>
      <c r="K1968" s="212" t="s">
        <v>3861</v>
      </c>
    </row>
    <row r="1969" spans="1:11" ht="15" customHeight="1" x14ac:dyDescent="0.25">
      <c r="A1969" s="370"/>
      <c r="B1969" s="370"/>
      <c r="C1969" s="371" t="s">
        <v>3880</v>
      </c>
      <c r="D1969" s="371"/>
      <c r="E1969" s="107">
        <f t="shared" si="165"/>
        <v>1806</v>
      </c>
      <c r="F1969" s="433"/>
      <c r="G1969" s="370" t="s">
        <v>1729</v>
      </c>
      <c r="H1969" s="370">
        <f>H811</f>
        <v>0</v>
      </c>
      <c r="I1969"/>
      <c r="J1969" s="212" t="s">
        <v>3881</v>
      </c>
      <c r="K1969" s="388"/>
    </row>
    <row r="1970" spans="1:11" ht="15" customHeight="1" x14ac:dyDescent="0.25">
      <c r="A1970" s="370"/>
      <c r="B1970" s="370" t="s">
        <v>3590</v>
      </c>
      <c r="C1970" s="371" t="s">
        <v>3882</v>
      </c>
      <c r="D1970" s="371"/>
      <c r="E1970" s="107">
        <f t="shared" si="165"/>
        <v>1807</v>
      </c>
      <c r="F1970" s="370"/>
      <c r="G1970" s="370" t="s">
        <v>45</v>
      </c>
      <c r="H1970" s="370" t="str">
        <f>IF(H814=0,"Tidak Ada","Ada")</f>
        <v>Ada</v>
      </c>
      <c r="J1970" s="212" t="s">
        <v>3883</v>
      </c>
      <c r="K1970" s="388"/>
    </row>
    <row r="1971" spans="1:11" ht="15" customHeight="1" x14ac:dyDescent="0.25">
      <c r="A1971" s="370"/>
      <c r="B1971" s="370"/>
      <c r="C1971" s="371" t="s">
        <v>3884</v>
      </c>
      <c r="D1971" s="371"/>
      <c r="E1971" s="107">
        <f t="shared" si="165"/>
        <v>1808</v>
      </c>
      <c r="F1971" s="433"/>
      <c r="G1971" s="370" t="s">
        <v>1729</v>
      </c>
      <c r="H1971" s="370">
        <f>SUM(H815:H819)</f>
        <v>6</v>
      </c>
      <c r="I1971" s="472" t="s">
        <v>3885</v>
      </c>
      <c r="J1971" s="212" t="s">
        <v>3886</v>
      </c>
      <c r="K1971" s="388"/>
    </row>
    <row r="1972" spans="1:11" ht="30" customHeight="1" x14ac:dyDescent="0.25">
      <c r="A1972" s="366"/>
      <c r="B1972" s="366" t="s">
        <v>3593</v>
      </c>
      <c r="C1972" s="373" t="s">
        <v>3887</v>
      </c>
      <c r="D1972" s="373"/>
      <c r="E1972" s="133"/>
      <c r="F1972" s="233"/>
      <c r="G1972" s="233"/>
      <c r="H1972" s="233"/>
      <c r="I1972"/>
      <c r="J1972" s="416">
        <v>3</v>
      </c>
      <c r="K1972" s="388"/>
    </row>
    <row r="1973" spans="1:11" ht="15" customHeight="1" x14ac:dyDescent="0.25">
      <c r="A1973" s="366"/>
      <c r="B1973" s="366"/>
      <c r="C1973" s="373" t="s">
        <v>3888</v>
      </c>
      <c r="D1973" s="373"/>
      <c r="E1973" s="107">
        <f>E1971+1</f>
        <v>1809</v>
      </c>
      <c r="F1973" s="233"/>
      <c r="G1973" s="233" t="s">
        <v>45</v>
      </c>
      <c r="H1973" s="412">
        <v>5</v>
      </c>
      <c r="I1973" s="206"/>
      <c r="J1973" s="416">
        <v>5</v>
      </c>
      <c r="K1973" s="385" t="s">
        <v>1763</v>
      </c>
    </row>
    <row r="1974" spans="1:11" ht="30" customHeight="1" x14ac:dyDescent="0.25">
      <c r="A1974" s="370"/>
      <c r="B1974" s="370"/>
      <c r="C1974" s="371" t="s">
        <v>3889</v>
      </c>
      <c r="D1974" s="371"/>
      <c r="E1974" s="107">
        <f>E1973+1</f>
        <v>1810</v>
      </c>
      <c r="F1974" s="370"/>
      <c r="G1974" s="370" t="s">
        <v>45</v>
      </c>
      <c r="H1974" s="370">
        <f>IF(H821=1,5,1)</f>
        <v>5</v>
      </c>
      <c r="I1974" s="206" t="s">
        <v>3890</v>
      </c>
      <c r="J1974" s="199" t="s">
        <v>3891</v>
      </c>
      <c r="K1974" s="388"/>
    </row>
    <row r="1975" spans="1:11" ht="30" customHeight="1" x14ac:dyDescent="0.25">
      <c r="A1975" s="370"/>
      <c r="B1975" s="370"/>
      <c r="C1975" s="371" t="s">
        <v>3892</v>
      </c>
      <c r="D1975" s="371"/>
      <c r="E1975" s="107">
        <f>E1974+1</f>
        <v>1811</v>
      </c>
      <c r="F1975" s="370"/>
      <c r="G1975" s="370" t="s">
        <v>45</v>
      </c>
      <c r="H1975" s="370">
        <f>IF(H822=1,5,1)</f>
        <v>5</v>
      </c>
      <c r="I1975" s="206" t="s">
        <v>3890</v>
      </c>
      <c r="J1975" s="199" t="s">
        <v>3893</v>
      </c>
      <c r="K1975" s="388"/>
    </row>
    <row r="1976" spans="1:11" ht="30" customHeight="1" x14ac:dyDescent="0.25">
      <c r="A1976" s="370"/>
      <c r="B1976" s="370"/>
      <c r="C1976" s="371" t="s">
        <v>3894</v>
      </c>
      <c r="D1976" s="371"/>
      <c r="E1976" s="107">
        <f>E1975+1</f>
        <v>1812</v>
      </c>
      <c r="F1976" s="370"/>
      <c r="G1976" s="370" t="s">
        <v>45</v>
      </c>
      <c r="H1976" s="370">
        <f>IF(H823=1,5,1)</f>
        <v>5</v>
      </c>
      <c r="I1976" s="206" t="s">
        <v>3890</v>
      </c>
      <c r="J1976" s="199" t="s">
        <v>3895</v>
      </c>
      <c r="K1976" s="388"/>
    </row>
    <row r="1977" spans="1:11" ht="30" customHeight="1" x14ac:dyDescent="0.25">
      <c r="A1977" s="370"/>
      <c r="B1977" s="370"/>
      <c r="C1977" s="371" t="s">
        <v>3896</v>
      </c>
      <c r="D1977" s="371"/>
      <c r="E1977" s="107">
        <f>E1976+1</f>
        <v>1813</v>
      </c>
      <c r="F1977" s="370"/>
      <c r="G1977" s="370" t="s">
        <v>45</v>
      </c>
      <c r="H1977" s="370">
        <f>IF(H824=1,5,1)</f>
        <v>5</v>
      </c>
      <c r="I1977" s="206" t="s">
        <v>3890</v>
      </c>
      <c r="J1977" s="199" t="s">
        <v>3897</v>
      </c>
      <c r="K1977" s="388"/>
    </row>
    <row r="1978" spans="1:11" ht="15" customHeight="1" x14ac:dyDescent="0.25">
      <c r="A1978" s="582">
        <v>21</v>
      </c>
      <c r="B1978" s="566"/>
      <c r="C1978" s="365" t="s">
        <v>3898</v>
      </c>
      <c r="D1978" s="365"/>
      <c r="E1978" s="133"/>
      <c r="F1978" s="233"/>
      <c r="G1978" s="233"/>
      <c r="H1978" s="233"/>
      <c r="I1978"/>
      <c r="J1978" s="202"/>
      <c r="K1978" s="388"/>
    </row>
    <row r="1979" spans="1:11" ht="30" customHeight="1" x14ac:dyDescent="0.25">
      <c r="A1979" s="366"/>
      <c r="B1979" s="374" t="s">
        <v>3564</v>
      </c>
      <c r="C1979" s="368" t="s">
        <v>3899</v>
      </c>
      <c r="D1979" s="368"/>
      <c r="E1979" s="107">
        <f>E1977+1</f>
        <v>1814</v>
      </c>
      <c r="F1979" s="233"/>
      <c r="G1979" s="233" t="s">
        <v>45</v>
      </c>
      <c r="H1979" s="412">
        <v>5</v>
      </c>
      <c r="I1979" s="206"/>
      <c r="J1979" s="199"/>
      <c r="K1979" s="388"/>
    </row>
    <row r="1980" spans="1:11" ht="30" customHeight="1" x14ac:dyDescent="0.25">
      <c r="A1980" s="366"/>
      <c r="B1980" s="374" t="s">
        <v>3567</v>
      </c>
      <c r="C1980" s="368" t="s">
        <v>3900</v>
      </c>
      <c r="D1980" s="368"/>
      <c r="E1980" s="107">
        <f>E1979+1</f>
        <v>1815</v>
      </c>
      <c r="F1980" s="233"/>
      <c r="G1980" s="233" t="s">
        <v>45</v>
      </c>
      <c r="H1980" s="412">
        <v>2</v>
      </c>
      <c r="I1980" s="206"/>
      <c r="J1980" s="212"/>
      <c r="K1980" s="388"/>
    </row>
    <row r="1981" spans="1:11" ht="15" customHeight="1" x14ac:dyDescent="0.25">
      <c r="A1981" s="582" t="s">
        <v>3901</v>
      </c>
      <c r="B1981" s="566"/>
      <c r="C1981" s="364" t="s">
        <v>3902</v>
      </c>
      <c r="D1981" s="364"/>
      <c r="E1981" s="133"/>
      <c r="F1981" s="406"/>
      <c r="G1981" s="406"/>
      <c r="H1981" s="406"/>
      <c r="I1981" s="205"/>
      <c r="J1981" s="202"/>
      <c r="K1981" s="388"/>
    </row>
    <row r="1982" spans="1:11" ht="15" customHeight="1" x14ac:dyDescent="0.25">
      <c r="A1982" s="582">
        <v>22</v>
      </c>
      <c r="B1982" s="566"/>
      <c r="C1982" s="365" t="s">
        <v>3903</v>
      </c>
      <c r="D1982" s="365"/>
      <c r="E1982" s="133"/>
      <c r="F1982" s="406"/>
      <c r="G1982" s="406"/>
      <c r="H1982" s="406"/>
      <c r="I1982" s="205"/>
      <c r="J1982" s="202"/>
      <c r="K1982" s="388"/>
    </row>
    <row r="1983" spans="1:11" ht="30" customHeight="1" x14ac:dyDescent="0.25">
      <c r="A1983" s="370"/>
      <c r="B1983" s="370" t="s">
        <v>3564</v>
      </c>
      <c r="C1983" s="376" t="s">
        <v>3904</v>
      </c>
      <c r="D1983" s="376"/>
      <c r="E1983" s="107">
        <f>E1980+1</f>
        <v>1816</v>
      </c>
      <c r="F1983" s="370"/>
      <c r="G1983" s="370" t="s">
        <v>45</v>
      </c>
      <c r="H1983" s="370">
        <f>IF(H729=0,1,5)</f>
        <v>5</v>
      </c>
      <c r="I1983" s="206"/>
      <c r="J1983" s="199" t="s">
        <v>3905</v>
      </c>
      <c r="K1983" s="388"/>
    </row>
    <row r="1984" spans="1:11" ht="30" customHeight="1" x14ac:dyDescent="0.25">
      <c r="A1984" s="366"/>
      <c r="B1984" s="366" t="s">
        <v>3567</v>
      </c>
      <c r="C1984" s="373" t="s">
        <v>3906</v>
      </c>
      <c r="D1984" s="373"/>
      <c r="E1984" s="107">
        <f>E1983+1</f>
        <v>1817</v>
      </c>
      <c r="F1984" s="233"/>
      <c r="G1984" s="233" t="s">
        <v>45</v>
      </c>
      <c r="H1984" s="412">
        <v>1</v>
      </c>
      <c r="I1984" s="206"/>
      <c r="J1984" s="416">
        <v>1</v>
      </c>
      <c r="K1984" s="388"/>
    </row>
    <row r="1985" spans="1:11" ht="15" customHeight="1" x14ac:dyDescent="0.25">
      <c r="A1985" s="582">
        <v>23</v>
      </c>
      <c r="B1985" s="566"/>
      <c r="C1985" s="365" t="s">
        <v>3907</v>
      </c>
      <c r="D1985" s="365"/>
      <c r="E1985" s="133"/>
      <c r="F1985" s="233"/>
      <c r="G1985" s="233"/>
      <c r="H1985" s="233"/>
      <c r="I1985" s="205"/>
      <c r="J1985" s="416">
        <v>2</v>
      </c>
      <c r="K1985" s="388"/>
    </row>
    <row r="1986" spans="1:11" ht="30" customHeight="1" x14ac:dyDescent="0.25">
      <c r="A1986" s="366"/>
      <c r="B1986" s="370" t="s">
        <v>3564</v>
      </c>
      <c r="C1986" s="371" t="s">
        <v>3908</v>
      </c>
      <c r="D1986" s="371"/>
      <c r="E1986" s="107">
        <f>E1984+1</f>
        <v>1818</v>
      </c>
      <c r="F1986" s="371" t="s">
        <v>3595</v>
      </c>
      <c r="G1986" s="467">
        <f>(H1987+H1988+H1989+H1990+H1991+H1992+H1993+H1994+H1995)/9</f>
        <v>3.6666666666666998</v>
      </c>
      <c r="H1986" s="454">
        <f>IF(G1986&lt;1.5,1,
IF(AND(G1986&gt;=1.5,G1986&lt;2.5),2,
IF(AND(G1986&gt;=2.5,G1986&lt;3.5),3,
IF(AND(G1986&gt;=3.5,G1986&lt;4.5),4,
IF(AND(G1986&gt;=4.5,G1986&lt;=5),5,"Tidak Teridentifikasi")))))</f>
        <v>4</v>
      </c>
      <c r="I1986" s="475" t="s">
        <v>3744</v>
      </c>
      <c r="J1986" s="416">
        <v>3</v>
      </c>
      <c r="K1986" s="388"/>
    </row>
    <row r="1987" spans="1:11" ht="15" customHeight="1" x14ac:dyDescent="0.25">
      <c r="A1987" s="468"/>
      <c r="B1987" s="469"/>
      <c r="C1987" s="470" t="s">
        <v>3909</v>
      </c>
      <c r="D1987" s="470"/>
      <c r="E1987" s="107">
        <f t="shared" ref="E1987:E1995" si="166">E1986+1</f>
        <v>1819</v>
      </c>
      <c r="F1987" s="233"/>
      <c r="G1987" s="233" t="s">
        <v>45</v>
      </c>
      <c r="H1987" s="412">
        <v>5</v>
      </c>
      <c r="I1987" s="456" t="s">
        <v>3847</v>
      </c>
      <c r="J1987" s="416">
        <v>4</v>
      </c>
      <c r="K1987" s="399"/>
    </row>
    <row r="1988" spans="1:11" ht="15" customHeight="1" x14ac:dyDescent="0.25">
      <c r="A1988" s="468"/>
      <c r="B1988" s="469"/>
      <c r="C1988" s="470" t="s">
        <v>3910</v>
      </c>
      <c r="D1988" s="470"/>
      <c r="E1988" s="107">
        <f t="shared" si="166"/>
        <v>1820</v>
      </c>
      <c r="F1988" s="233"/>
      <c r="G1988" s="233" t="s">
        <v>45</v>
      </c>
      <c r="H1988" s="412">
        <v>5</v>
      </c>
      <c r="I1988" s="456" t="s">
        <v>3847</v>
      </c>
      <c r="J1988" s="416">
        <v>5</v>
      </c>
      <c r="K1988" s="399"/>
    </row>
    <row r="1989" spans="1:11" ht="15" customHeight="1" x14ac:dyDescent="0.25">
      <c r="A1989" s="468"/>
      <c r="B1989" s="469"/>
      <c r="C1989" s="470" t="s">
        <v>3911</v>
      </c>
      <c r="D1989" s="470"/>
      <c r="E1989" s="107">
        <f t="shared" si="166"/>
        <v>1821</v>
      </c>
      <c r="F1989" s="233"/>
      <c r="G1989" s="233" t="s">
        <v>45</v>
      </c>
      <c r="H1989" s="412">
        <v>5</v>
      </c>
      <c r="I1989" s="456" t="s">
        <v>3847</v>
      </c>
      <c r="J1989" s="459" t="s">
        <v>3912</v>
      </c>
      <c r="K1989" s="388"/>
    </row>
    <row r="1990" spans="1:11" ht="15" customHeight="1" x14ac:dyDescent="0.25">
      <c r="A1990" s="468"/>
      <c r="B1990" s="469"/>
      <c r="C1990" s="470" t="s">
        <v>3913</v>
      </c>
      <c r="D1990" s="470"/>
      <c r="E1990" s="107">
        <f t="shared" si="166"/>
        <v>1822</v>
      </c>
      <c r="F1990" s="233"/>
      <c r="G1990" s="233" t="s">
        <v>45</v>
      </c>
      <c r="H1990" s="412">
        <v>1</v>
      </c>
      <c r="I1990" s="456" t="s">
        <v>3847</v>
      </c>
      <c r="J1990" s="459" t="s">
        <v>3914</v>
      </c>
      <c r="K1990" s="388"/>
    </row>
    <row r="1991" spans="1:11" ht="15" customHeight="1" x14ac:dyDescent="0.25">
      <c r="A1991" s="468"/>
      <c r="B1991" s="469"/>
      <c r="C1991" s="470" t="s">
        <v>3915</v>
      </c>
      <c r="D1991" s="470"/>
      <c r="E1991" s="107">
        <f t="shared" si="166"/>
        <v>1823</v>
      </c>
      <c r="F1991" s="233"/>
      <c r="G1991" s="233" t="s">
        <v>45</v>
      </c>
      <c r="H1991" s="412">
        <v>5</v>
      </c>
      <c r="I1991" s="456" t="s">
        <v>3847</v>
      </c>
      <c r="J1991" s="459" t="s">
        <v>3916</v>
      </c>
      <c r="K1991" s="388"/>
    </row>
    <row r="1992" spans="1:11" ht="15" customHeight="1" x14ac:dyDescent="0.25">
      <c r="A1992" s="468"/>
      <c r="B1992" s="469"/>
      <c r="C1992" s="470" t="s">
        <v>3917</v>
      </c>
      <c r="D1992" s="470"/>
      <c r="E1992" s="107">
        <f t="shared" si="166"/>
        <v>1824</v>
      </c>
      <c r="F1992" s="233"/>
      <c r="G1992" s="233" t="s">
        <v>45</v>
      </c>
      <c r="H1992" s="412">
        <v>5</v>
      </c>
      <c r="I1992" s="456" t="s">
        <v>3847</v>
      </c>
      <c r="J1992" s="459" t="s">
        <v>3918</v>
      </c>
      <c r="K1992" s="388"/>
    </row>
    <row r="1993" spans="1:11" ht="15" customHeight="1" x14ac:dyDescent="0.25">
      <c r="A1993" s="366"/>
      <c r="B1993" s="366"/>
      <c r="C1993" s="368" t="s">
        <v>3919</v>
      </c>
      <c r="D1993" s="368"/>
      <c r="E1993" s="107">
        <f t="shared" si="166"/>
        <v>1825</v>
      </c>
      <c r="F1993" s="233"/>
      <c r="G1993" s="233" t="s">
        <v>45</v>
      </c>
      <c r="H1993" s="412">
        <v>1</v>
      </c>
      <c r="I1993" s="456" t="s">
        <v>3847</v>
      </c>
      <c r="J1993" s="200"/>
      <c r="K1993" s="388"/>
    </row>
    <row r="1994" spans="1:11" ht="15" customHeight="1" x14ac:dyDescent="0.25">
      <c r="A1994" s="366"/>
      <c r="B1994" s="366"/>
      <c r="C1994" s="368" t="s">
        <v>3920</v>
      </c>
      <c r="D1994" s="368"/>
      <c r="E1994" s="107">
        <f t="shared" si="166"/>
        <v>1826</v>
      </c>
      <c r="F1994" s="233"/>
      <c r="G1994" s="233" t="s">
        <v>45</v>
      </c>
      <c r="H1994" s="412">
        <v>5</v>
      </c>
      <c r="I1994" s="456" t="s">
        <v>3847</v>
      </c>
      <c r="J1994" s="200"/>
      <c r="K1994" s="388"/>
    </row>
    <row r="1995" spans="1:11" ht="15" customHeight="1" x14ac:dyDescent="0.25">
      <c r="A1995" s="366"/>
      <c r="B1995" s="366"/>
      <c r="C1995" s="368" t="s">
        <v>3921</v>
      </c>
      <c r="D1995" s="368"/>
      <c r="E1995" s="107">
        <f t="shared" si="166"/>
        <v>1827</v>
      </c>
      <c r="F1995" s="233"/>
      <c r="G1995" s="233" t="s">
        <v>45</v>
      </c>
      <c r="H1995" s="412">
        <v>1</v>
      </c>
      <c r="I1995" s="456" t="s">
        <v>3847</v>
      </c>
      <c r="J1995" s="200"/>
      <c r="K1995" s="388"/>
    </row>
    <row r="1996" spans="1:11" ht="15" customHeight="1" x14ac:dyDescent="0.25">
      <c r="A1996" s="582">
        <v>24</v>
      </c>
      <c r="B1996" s="566"/>
      <c r="C1996" s="365" t="s">
        <v>3922</v>
      </c>
      <c r="D1996" s="365"/>
      <c r="E1996" s="133"/>
      <c r="F1996" s="233"/>
      <c r="G1996" s="233"/>
      <c r="H1996" s="233"/>
      <c r="I1996" s="205"/>
      <c r="J1996" s="202"/>
      <c r="K1996" s="388"/>
    </row>
    <row r="1997" spans="1:11" ht="45" customHeight="1" x14ac:dyDescent="0.25">
      <c r="A1997" s="370"/>
      <c r="B1997" s="370" t="s">
        <v>3564</v>
      </c>
      <c r="C1997" s="371" t="s">
        <v>3923</v>
      </c>
      <c r="D1997" s="371"/>
      <c r="E1997" s="473">
        <f>E1995+1</f>
        <v>1828</v>
      </c>
      <c r="F1997" s="467" t="s">
        <v>3595</v>
      </c>
      <c r="G1997" s="467">
        <f>(H1999+H2000+H2001+H2003+H2004+H2005)/6</f>
        <v>4.3333333333333002</v>
      </c>
      <c r="H1997" s="467">
        <f>IF(G1997&lt;1.5,1,
IF(AND(G1997&gt;=1.5,G1997&lt;2.5),2,
IF(AND(G1997&gt;=2.5,G1997&lt;3.5),3,
IF(AND(G1997&gt;=3.5,G1997&lt;4.5),4,
IF(AND(G1997&gt;=4.5,G1997&lt;=5),5,"Tidak Teridentifikasi")))))</f>
        <v>4</v>
      </c>
      <c r="I1997" s="475" t="s">
        <v>3744</v>
      </c>
      <c r="J1997" s="457" t="s">
        <v>3924</v>
      </c>
      <c r="K1997" s="458" t="s">
        <v>3925</v>
      </c>
    </row>
    <row r="1998" spans="1:11" ht="30" customHeight="1" x14ac:dyDescent="0.25">
      <c r="A1998" s="366"/>
      <c r="B1998" s="366" t="s">
        <v>3567</v>
      </c>
      <c r="C1998" s="368" t="s">
        <v>3926</v>
      </c>
      <c r="D1998" s="368"/>
      <c r="E1998" s="133">
        <f>E1997+1</f>
        <v>1829</v>
      </c>
      <c r="F1998" s="233"/>
      <c r="G1998" s="233"/>
      <c r="H1998" s="412"/>
      <c r="I1998" s="456" t="s">
        <v>3927</v>
      </c>
      <c r="J1998" s="199"/>
      <c r="K1998" s="388"/>
    </row>
    <row r="1999" spans="1:11" ht="15" customHeight="1" x14ac:dyDescent="0.25">
      <c r="A1999" s="366"/>
      <c r="B1999" s="366"/>
      <c r="C1999" s="373" t="s">
        <v>3928</v>
      </c>
      <c r="D1999" s="373"/>
      <c r="E1999" s="107">
        <f>E1998+1</f>
        <v>1830</v>
      </c>
      <c r="F1999" s="233"/>
      <c r="G1999" s="233" t="s">
        <v>45</v>
      </c>
      <c r="H1999" s="412">
        <v>5</v>
      </c>
      <c r="I1999" s="456" t="s">
        <v>3847</v>
      </c>
      <c r="J1999" s="199"/>
      <c r="K1999" s="388"/>
    </row>
    <row r="2000" spans="1:11" ht="15" customHeight="1" x14ac:dyDescent="0.25">
      <c r="A2000" s="366"/>
      <c r="B2000" s="366"/>
      <c r="C2000" s="373" t="s">
        <v>3929</v>
      </c>
      <c r="D2000" s="373"/>
      <c r="E2000" s="107">
        <f>E1999+1</f>
        <v>1831</v>
      </c>
      <c r="F2000" s="233"/>
      <c r="G2000" s="233" t="s">
        <v>45</v>
      </c>
      <c r="H2000" s="412">
        <v>5</v>
      </c>
      <c r="I2000" s="456" t="s">
        <v>3847</v>
      </c>
      <c r="J2000" s="199"/>
      <c r="K2000" s="388"/>
    </row>
    <row r="2001" spans="1:11" ht="15" customHeight="1" x14ac:dyDescent="0.25">
      <c r="A2001" s="366"/>
      <c r="B2001" s="366"/>
      <c r="C2001" s="373" t="s">
        <v>3930</v>
      </c>
      <c r="D2001" s="373"/>
      <c r="E2001" s="107">
        <f>E2000+1</f>
        <v>1832</v>
      </c>
      <c r="F2001" s="233"/>
      <c r="G2001" s="233" t="s">
        <v>45</v>
      </c>
      <c r="H2001" s="412">
        <v>5</v>
      </c>
      <c r="I2001" s="456" t="s">
        <v>3847</v>
      </c>
      <c r="J2001" s="199"/>
      <c r="K2001" s="388"/>
    </row>
    <row r="2002" spans="1:11" ht="30" customHeight="1" x14ac:dyDescent="0.25">
      <c r="A2002" s="366"/>
      <c r="B2002" s="374" t="s">
        <v>3570</v>
      </c>
      <c r="C2002" s="368" t="s">
        <v>3931</v>
      </c>
      <c r="D2002" s="368"/>
      <c r="E2002" s="133"/>
      <c r="F2002" s="233"/>
      <c r="G2002" s="233"/>
      <c r="H2002" s="412"/>
      <c r="I2002" s="207"/>
      <c r="J2002" s="202"/>
      <c r="K2002" s="388"/>
    </row>
    <row r="2003" spans="1:11" ht="15" customHeight="1" x14ac:dyDescent="0.25">
      <c r="A2003" s="366"/>
      <c r="B2003" s="374"/>
      <c r="C2003" s="368" t="s">
        <v>3932</v>
      </c>
      <c r="D2003" s="368"/>
      <c r="E2003" s="107">
        <f>E2001+1</f>
        <v>1833</v>
      </c>
      <c r="F2003" s="233"/>
      <c r="G2003" s="233" t="s">
        <v>45</v>
      </c>
      <c r="H2003" s="412">
        <v>5</v>
      </c>
      <c r="I2003" s="456" t="s">
        <v>3847</v>
      </c>
      <c r="J2003" s="202"/>
      <c r="K2003" s="388"/>
    </row>
    <row r="2004" spans="1:11" ht="15" customHeight="1" x14ac:dyDescent="0.25">
      <c r="A2004" s="366"/>
      <c r="B2004" s="374"/>
      <c r="C2004" s="368" t="s">
        <v>3933</v>
      </c>
      <c r="D2004" s="368"/>
      <c r="E2004" s="107">
        <f>E2003+1</f>
        <v>1834</v>
      </c>
      <c r="F2004" s="233"/>
      <c r="G2004" s="233" t="s">
        <v>45</v>
      </c>
      <c r="H2004" s="412">
        <v>1</v>
      </c>
      <c r="I2004" s="456" t="s">
        <v>3847</v>
      </c>
      <c r="J2004" s="202"/>
      <c r="K2004" s="388"/>
    </row>
    <row r="2005" spans="1:11" ht="15" customHeight="1" x14ac:dyDescent="0.25">
      <c r="A2005" s="366"/>
      <c r="B2005" s="374"/>
      <c r="C2005" s="368" t="s">
        <v>3934</v>
      </c>
      <c r="D2005" s="368"/>
      <c r="E2005" s="107">
        <f>E2004+1</f>
        <v>1835</v>
      </c>
      <c r="F2005" s="233"/>
      <c r="G2005" s="233" t="s">
        <v>45</v>
      </c>
      <c r="H2005" s="412">
        <v>5</v>
      </c>
      <c r="I2005" s="456" t="s">
        <v>3847</v>
      </c>
      <c r="J2005" s="202"/>
      <c r="K2005" s="388"/>
    </row>
    <row r="2006" spans="1:11" ht="15" customHeight="1" x14ac:dyDescent="0.25">
      <c r="A2006" s="581">
        <v>3</v>
      </c>
      <c r="B2006" s="566"/>
      <c r="C2006" s="377" t="s">
        <v>3935</v>
      </c>
      <c r="D2006" s="377"/>
      <c r="E2006" s="133"/>
      <c r="F2006" s="406"/>
      <c r="G2006" s="406"/>
      <c r="H2006" s="406"/>
      <c r="I2006" s="205"/>
      <c r="J2006" s="202"/>
      <c r="K2006" s="388"/>
    </row>
    <row r="2007" spans="1:11" ht="15" customHeight="1" x14ac:dyDescent="0.25">
      <c r="A2007" s="581" t="s">
        <v>3936</v>
      </c>
      <c r="B2007" s="566"/>
      <c r="C2007" s="377" t="s">
        <v>3937</v>
      </c>
      <c r="D2007" s="377"/>
      <c r="E2007" s="133"/>
      <c r="F2007" s="406"/>
      <c r="G2007" s="406"/>
      <c r="H2007" s="406"/>
      <c r="I2007" s="205"/>
      <c r="J2007" s="202"/>
      <c r="K2007" s="388"/>
    </row>
    <row r="2008" spans="1:11" ht="15" customHeight="1" x14ac:dyDescent="0.25">
      <c r="A2008" s="581">
        <v>25</v>
      </c>
      <c r="B2008" s="566"/>
      <c r="C2008" s="318" t="s">
        <v>3938</v>
      </c>
      <c r="D2008" s="318"/>
      <c r="E2008" s="133"/>
      <c r="F2008" s="406"/>
      <c r="G2008" s="406"/>
      <c r="H2008" s="406"/>
      <c r="I2008" s="205"/>
      <c r="J2008" s="202"/>
      <c r="K2008" s="388"/>
    </row>
    <row r="2009" spans="1:11" ht="15" customHeight="1" x14ac:dyDescent="0.25">
      <c r="A2009" s="313"/>
      <c r="B2009" s="313" t="s">
        <v>3564</v>
      </c>
      <c r="C2009" s="314" t="s">
        <v>3939</v>
      </c>
      <c r="D2009" s="314"/>
      <c r="E2009" s="107">
        <f>E2005+1</f>
        <v>1836</v>
      </c>
      <c r="F2009" s="233"/>
      <c r="G2009" s="233" t="s">
        <v>45</v>
      </c>
      <c r="H2009" s="412">
        <v>5</v>
      </c>
      <c r="I2009" s="8"/>
      <c r="J2009" s="202"/>
      <c r="K2009" s="388"/>
    </row>
    <row r="2010" spans="1:11" ht="15" customHeight="1" x14ac:dyDescent="0.25">
      <c r="A2010" s="378"/>
      <c r="B2010" s="313" t="s">
        <v>3567</v>
      </c>
      <c r="C2010" s="320" t="s">
        <v>3940</v>
      </c>
      <c r="D2010" s="320"/>
      <c r="E2010" s="107">
        <f>E2009+1</f>
        <v>1837</v>
      </c>
      <c r="F2010" s="406"/>
      <c r="G2010" s="233" t="s">
        <v>45</v>
      </c>
      <c r="H2010" s="412">
        <v>5</v>
      </c>
      <c r="I2010" s="206"/>
      <c r="J2010" s="202"/>
      <c r="K2010" s="388"/>
    </row>
    <row r="2011" spans="1:11" ht="15" customHeight="1" x14ac:dyDescent="0.25">
      <c r="A2011" s="581">
        <v>26</v>
      </c>
      <c r="B2011" s="566"/>
      <c r="C2011" s="318" t="s">
        <v>3941</v>
      </c>
      <c r="D2011" s="318"/>
      <c r="E2011" s="133"/>
      <c r="F2011" s="233"/>
      <c r="G2011" s="233"/>
      <c r="H2011" s="233"/>
      <c r="I2011" s="205"/>
      <c r="J2011" s="202"/>
      <c r="K2011" s="388"/>
    </row>
    <row r="2012" spans="1:11" ht="15" customHeight="1" x14ac:dyDescent="0.25">
      <c r="A2012" s="313"/>
      <c r="B2012" s="313" t="s">
        <v>3564</v>
      </c>
      <c r="C2012" s="320" t="s">
        <v>3942</v>
      </c>
      <c r="D2012" s="320"/>
      <c r="E2012" s="107">
        <f>E2010+1</f>
        <v>1838</v>
      </c>
      <c r="F2012" s="233"/>
      <c r="G2012" s="233" t="s">
        <v>45</v>
      </c>
      <c r="H2012" s="412">
        <v>5</v>
      </c>
      <c r="I2012" s="206"/>
      <c r="J2012" s="202"/>
      <c r="K2012" s="388"/>
    </row>
    <row r="2013" spans="1:11" ht="15" customHeight="1" x14ac:dyDescent="0.25">
      <c r="A2013" s="313"/>
      <c r="B2013" s="313" t="s">
        <v>3567</v>
      </c>
      <c r="C2013" s="314" t="s">
        <v>3943</v>
      </c>
      <c r="D2013" s="314"/>
      <c r="E2013" s="107">
        <f>E2012+1</f>
        <v>1839</v>
      </c>
      <c r="F2013" s="233"/>
      <c r="G2013" s="233" t="s">
        <v>45</v>
      </c>
      <c r="H2013" s="412">
        <v>1</v>
      </c>
      <c r="I2013" s="206"/>
      <c r="J2013" s="202"/>
      <c r="K2013" s="388"/>
    </row>
    <row r="2014" spans="1:11" ht="15" customHeight="1" x14ac:dyDescent="0.25">
      <c r="A2014" s="313"/>
      <c r="B2014" s="313" t="s">
        <v>3570</v>
      </c>
      <c r="C2014" s="314" t="s">
        <v>3944</v>
      </c>
      <c r="D2014" s="314"/>
      <c r="E2014" s="107">
        <f>E2013+1</f>
        <v>1840</v>
      </c>
      <c r="F2014" s="233"/>
      <c r="G2014" s="233" t="s">
        <v>45</v>
      </c>
      <c r="H2014" s="412">
        <v>5</v>
      </c>
      <c r="I2014" s="206"/>
      <c r="J2014" s="202"/>
      <c r="K2014" s="388"/>
    </row>
    <row r="2015" spans="1:11" ht="15" customHeight="1" x14ac:dyDescent="0.25">
      <c r="A2015" s="581">
        <v>27</v>
      </c>
      <c r="B2015" s="566"/>
      <c r="C2015" s="318" t="s">
        <v>3945</v>
      </c>
      <c r="D2015" s="318"/>
      <c r="E2015" s="133"/>
      <c r="F2015" s="233"/>
      <c r="G2015" s="233"/>
      <c r="H2015" s="233"/>
      <c r="I2015" s="205"/>
      <c r="J2015" s="202"/>
      <c r="K2015" s="388"/>
    </row>
    <row r="2016" spans="1:11" ht="45" customHeight="1" x14ac:dyDescent="0.25">
      <c r="A2016" s="313"/>
      <c r="B2016" s="313" t="s">
        <v>3564</v>
      </c>
      <c r="C2016" s="314" t="s">
        <v>3946</v>
      </c>
      <c r="D2016" s="314"/>
      <c r="E2016" s="107">
        <f>E2014+1</f>
        <v>1841</v>
      </c>
      <c r="F2016" s="233"/>
      <c r="G2016" s="233" t="s">
        <v>45</v>
      </c>
      <c r="H2016" s="412">
        <v>1</v>
      </c>
      <c r="I2016" s="206"/>
      <c r="J2016" s="202"/>
      <c r="K2016" s="388"/>
    </row>
    <row r="2017" spans="1:11" ht="30" customHeight="1" x14ac:dyDescent="0.25">
      <c r="A2017" s="313"/>
      <c r="B2017" s="313" t="s">
        <v>3567</v>
      </c>
      <c r="C2017" s="314" t="s">
        <v>3947</v>
      </c>
      <c r="D2017" s="314"/>
      <c r="E2017" s="107">
        <f>E2016+1</f>
        <v>1842</v>
      </c>
      <c r="F2017" s="233"/>
      <c r="G2017" s="233" t="s">
        <v>33</v>
      </c>
      <c r="H2017" s="412">
        <v>0</v>
      </c>
      <c r="I2017" s="203"/>
      <c r="J2017" s="202"/>
      <c r="K2017" s="388"/>
    </row>
    <row r="2018" spans="1:11" ht="15" customHeight="1" x14ac:dyDescent="0.25">
      <c r="A2018" s="581">
        <v>28</v>
      </c>
      <c r="B2018" s="566"/>
      <c r="C2018" s="316" t="s">
        <v>3229</v>
      </c>
      <c r="D2018" s="316"/>
      <c r="E2018" s="133"/>
      <c r="F2018" s="233"/>
      <c r="G2018" s="233"/>
      <c r="H2018" s="233"/>
      <c r="I2018" s="206"/>
      <c r="J2018" s="202"/>
      <c r="K2018" s="388"/>
    </row>
    <row r="2019" spans="1:11" ht="30" customHeight="1" x14ac:dyDescent="0.25">
      <c r="A2019" s="313"/>
      <c r="B2019" s="313" t="s">
        <v>3564</v>
      </c>
      <c r="C2019" s="314" t="s">
        <v>3948</v>
      </c>
      <c r="D2019" s="314"/>
      <c r="E2019" s="107">
        <f>E2017+1</f>
        <v>1843</v>
      </c>
      <c r="F2019" s="233"/>
      <c r="G2019" s="233" t="s">
        <v>45</v>
      </c>
      <c r="H2019" s="412">
        <v>5</v>
      </c>
      <c r="I2019" s="206"/>
      <c r="J2019" s="202"/>
      <c r="K2019" s="388"/>
    </row>
    <row r="2020" spans="1:11" ht="30" customHeight="1" x14ac:dyDescent="0.25">
      <c r="A2020" s="313"/>
      <c r="B2020" s="313" t="s">
        <v>3567</v>
      </c>
      <c r="C2020" s="314" t="s">
        <v>3949</v>
      </c>
      <c r="D2020" s="314"/>
      <c r="E2020" s="107">
        <f>E2019+1</f>
        <v>1844</v>
      </c>
      <c r="F2020" s="233"/>
      <c r="G2020" s="233" t="s">
        <v>45</v>
      </c>
      <c r="H2020" s="412">
        <v>1</v>
      </c>
      <c r="I2020" s="206"/>
      <c r="J2020" s="202"/>
      <c r="K2020" s="388"/>
    </row>
    <row r="2021" spans="1:11" ht="15" customHeight="1" x14ac:dyDescent="0.25">
      <c r="A2021" s="581" t="s">
        <v>3950</v>
      </c>
      <c r="B2021" s="566"/>
      <c r="C2021" s="377" t="s">
        <v>3951</v>
      </c>
      <c r="D2021" s="377"/>
      <c r="E2021" s="133"/>
      <c r="F2021" s="406"/>
      <c r="G2021" s="406"/>
      <c r="H2021" s="406"/>
      <c r="I2021" s="205"/>
      <c r="J2021" s="202"/>
      <c r="K2021" s="388"/>
    </row>
    <row r="2022" spans="1:11" ht="30" customHeight="1" x14ac:dyDescent="0.25">
      <c r="A2022" s="581">
        <v>29</v>
      </c>
      <c r="B2022" s="566"/>
      <c r="C2022" s="318" t="s">
        <v>3952</v>
      </c>
      <c r="D2022" s="318"/>
      <c r="E2022" s="133"/>
      <c r="F2022" s="406"/>
      <c r="G2022" s="406"/>
      <c r="H2022" s="406"/>
      <c r="I2022" s="205"/>
      <c r="J2022" s="202"/>
      <c r="K2022" s="388"/>
    </row>
    <row r="2023" spans="1:11" ht="30" customHeight="1" x14ac:dyDescent="0.25">
      <c r="A2023" s="285"/>
      <c r="B2023" s="285" t="s">
        <v>3564</v>
      </c>
      <c r="C2023" s="319" t="s">
        <v>3953</v>
      </c>
      <c r="D2023" s="319"/>
      <c r="E2023" s="107">
        <f>E2020+1</f>
        <v>1845</v>
      </c>
      <c r="F2023" s="379"/>
      <c r="G2023" s="285" t="s">
        <v>45</v>
      </c>
      <c r="H2023" s="285">
        <f>IF(H725&gt;0,5,1)</f>
        <v>5</v>
      </c>
      <c r="I2023" s="206"/>
      <c r="J2023" s="199" t="s">
        <v>3954</v>
      </c>
      <c r="K2023" s="388"/>
    </row>
    <row r="2024" spans="1:11" ht="30" customHeight="1" x14ac:dyDescent="0.25">
      <c r="A2024" s="313"/>
      <c r="B2024" s="313" t="s">
        <v>3567</v>
      </c>
      <c r="C2024" s="320" t="s">
        <v>3955</v>
      </c>
      <c r="D2024" s="320"/>
      <c r="E2024" s="107">
        <f>E2023+1</f>
        <v>1846</v>
      </c>
      <c r="F2024" s="406"/>
      <c r="G2024" s="233" t="s">
        <v>45</v>
      </c>
      <c r="H2024" s="412">
        <v>3</v>
      </c>
      <c r="I2024" s="206"/>
      <c r="J2024" s="202"/>
      <c r="K2024" s="388"/>
    </row>
    <row r="2025" spans="1:11" ht="30" customHeight="1" x14ac:dyDescent="0.25">
      <c r="A2025" s="313"/>
      <c r="B2025" s="313" t="s">
        <v>3570</v>
      </c>
      <c r="C2025" s="314" t="s">
        <v>3956</v>
      </c>
      <c r="D2025" s="314"/>
      <c r="E2025" s="107">
        <f>E2024+1</f>
        <v>1847</v>
      </c>
      <c r="F2025" s="233"/>
      <c r="G2025" s="233" t="s">
        <v>45</v>
      </c>
      <c r="H2025" s="412" t="s">
        <v>243</v>
      </c>
      <c r="I2025" s="207"/>
      <c r="J2025" s="202"/>
      <c r="K2025" s="388"/>
    </row>
    <row r="2026" spans="1:11" ht="30" customHeight="1" x14ac:dyDescent="0.25">
      <c r="A2026" s="313"/>
      <c r="B2026" s="313" t="s">
        <v>3572</v>
      </c>
      <c r="C2026" s="314" t="s">
        <v>3957</v>
      </c>
      <c r="D2026" s="314"/>
      <c r="E2026" s="107">
        <f>E2025+1</f>
        <v>1848</v>
      </c>
      <c r="F2026" s="233"/>
      <c r="G2026" s="233" t="s">
        <v>33</v>
      </c>
      <c r="H2026" s="412" t="s">
        <v>3958</v>
      </c>
      <c r="I2026" s="203"/>
      <c r="J2026" s="202"/>
      <c r="K2026" s="388"/>
    </row>
    <row r="2027" spans="1:11" ht="15" customHeight="1" x14ac:dyDescent="0.25">
      <c r="A2027" s="581">
        <v>30</v>
      </c>
      <c r="B2027" s="566"/>
      <c r="C2027" s="318" t="s">
        <v>3959</v>
      </c>
      <c r="D2027" s="318"/>
      <c r="E2027" s="133"/>
      <c r="F2027" s="233"/>
      <c r="G2027" s="233"/>
      <c r="H2027" s="233"/>
      <c r="I2027" s="205"/>
      <c r="J2027" s="202"/>
      <c r="K2027" s="388"/>
    </row>
    <row r="2028" spans="1:11" ht="15" customHeight="1" x14ac:dyDescent="0.25">
      <c r="A2028" s="285"/>
      <c r="B2028" s="285" t="s">
        <v>3564</v>
      </c>
      <c r="C2028" s="315" t="s">
        <v>3960</v>
      </c>
      <c r="D2028" s="315"/>
      <c r="E2028" s="107">
        <f>E2026+1</f>
        <v>1849</v>
      </c>
      <c r="F2028" s="285"/>
      <c r="G2028" s="285" t="s">
        <v>45</v>
      </c>
      <c r="H2028" s="285">
        <f>IF(SUM(H1353,H1354,H1356)&gt;0,5,1)</f>
        <v>5</v>
      </c>
      <c r="I2028" s="206"/>
      <c r="J2028" s="212" t="s">
        <v>3961</v>
      </c>
      <c r="K2028" s="388"/>
    </row>
    <row r="2029" spans="1:11" ht="15" customHeight="1" x14ac:dyDescent="0.25">
      <c r="A2029" s="313"/>
      <c r="B2029" s="313" t="s">
        <v>3567</v>
      </c>
      <c r="C2029" s="314" t="s">
        <v>3962</v>
      </c>
      <c r="D2029" s="314"/>
      <c r="E2029" s="107">
        <f>E2028+1</f>
        <v>1850</v>
      </c>
      <c r="F2029" s="233"/>
      <c r="G2029" s="233" t="s">
        <v>45</v>
      </c>
      <c r="H2029" s="412" t="s">
        <v>3564</v>
      </c>
      <c r="I2029" s="474" t="s">
        <v>3963</v>
      </c>
      <c r="K2029" s="212" t="s">
        <v>3964</v>
      </c>
    </row>
    <row r="2030" spans="1:11" ht="15" customHeight="1" x14ac:dyDescent="0.25">
      <c r="A2030" s="313"/>
      <c r="B2030" s="313" t="s">
        <v>3570</v>
      </c>
      <c r="C2030" s="314" t="s">
        <v>3965</v>
      </c>
      <c r="D2030" s="314"/>
      <c r="E2030" s="107">
        <f>E2029+1</f>
        <v>1851</v>
      </c>
      <c r="F2030" s="392"/>
      <c r="G2030" s="233" t="s">
        <v>1155</v>
      </c>
      <c r="H2030" s="247">
        <v>1</v>
      </c>
      <c r="I2030" s="207"/>
      <c r="J2030" s="199" t="s">
        <v>3966</v>
      </c>
      <c r="K2030" s="388"/>
    </row>
    <row r="2031" spans="1:11" ht="15" customHeight="1" x14ac:dyDescent="0.25">
      <c r="A2031" s="313"/>
      <c r="B2031" s="313" t="s">
        <v>3572</v>
      </c>
      <c r="C2031" s="314" t="s">
        <v>3967</v>
      </c>
      <c r="D2031" s="314"/>
      <c r="E2031" s="107">
        <f>E2030+1</f>
        <v>1852</v>
      </c>
      <c r="F2031" s="392"/>
      <c r="G2031" s="233" t="s">
        <v>1151</v>
      </c>
      <c r="H2031" s="247">
        <v>1000</v>
      </c>
      <c r="I2031" s="207"/>
      <c r="J2031" s="199" t="s">
        <v>1509</v>
      </c>
      <c r="K2031" s="388"/>
    </row>
    <row r="2032" spans="1:11" ht="15" customHeight="1" x14ac:dyDescent="0.25">
      <c r="A2032" s="313"/>
      <c r="B2032" s="313" t="s">
        <v>3576</v>
      </c>
      <c r="C2032" s="314" t="s">
        <v>3968</v>
      </c>
      <c r="D2032" s="314"/>
      <c r="E2032" s="107">
        <f>E2031+1</f>
        <v>1853</v>
      </c>
      <c r="F2032" s="233"/>
      <c r="G2032" s="233" t="s">
        <v>45</v>
      </c>
      <c r="H2032" s="412" t="s">
        <v>148</v>
      </c>
      <c r="I2032" s="207"/>
      <c r="J2032" s="202"/>
      <c r="K2032" s="388"/>
    </row>
    <row r="2033" spans="1:11" ht="15" customHeight="1" x14ac:dyDescent="0.25">
      <c r="A2033" s="285"/>
      <c r="B2033" s="285" t="s">
        <v>3580</v>
      </c>
      <c r="C2033" s="315" t="s">
        <v>3969</v>
      </c>
      <c r="D2033" s="315"/>
      <c r="E2033" s="107">
        <f>E2032+1</f>
        <v>1854</v>
      </c>
      <c r="F2033" s="285"/>
      <c r="G2033" s="285" t="s">
        <v>3569</v>
      </c>
      <c r="H2033" s="285">
        <f>IF(AND(H2031&lt;=3000,H2030&gt;5,H2030&lt;=30,H2032="Tidak Ada"),4,IF(AND(H2031&lt;=3000,H2030&gt;30,H2032="Tidak Ada"),3,
IF(AND(H2031&gt;3000,H2031&lt;=7000,H2030&lt;=5,OR(H2032="Ada",H2032="Tidak Ada")),4,IF(AND(H2031&gt;3000,H2031&lt;=7000,H2030&gt;5,H2030&lt;=30,H2032="Ada"),3,IF(AND(H2031&gt;3000,H2031&lt;=7000,H2030&gt;5,H2030&lt;=30,H2032="Tidak Ada"),2,IF(AND(H2031&gt;3000,H2031&lt;=7000,H2030&gt;30,H2032="Ada"),3,IF(AND(H2031&gt;3000,H2031&lt;=7000,H2030&gt;30,H2032="Tidak Ada"),2,
IF(AND(H2031&gt;7000,H2030&lt;=5,H2032="Ada"),4,IF(AND(H2031&gt;7000,H2030&lt;=5,H2032="Tidak Ada"),2,IF(AND(H2031&gt;7000,H2030&gt;5,H2030&lt;=30,H2032="Ada"),2,IF(AND(H2031&gt;7000,H2030&gt;5,H2030&lt;=30,H2032="Tidak Ada"),1,IF(AND(H2031&gt;7000,H2030&gt;30,OR(H2032="Ada",H2032="Tidak Ada")),1,5))))))))))))</f>
        <v>5</v>
      </c>
      <c r="I2033" s="206"/>
      <c r="J2033" s="212"/>
      <c r="K2033" s="388"/>
    </row>
    <row r="2034" spans="1:11" ht="15" customHeight="1" x14ac:dyDescent="0.25">
      <c r="A2034" s="581">
        <v>31</v>
      </c>
      <c r="B2034" s="566"/>
      <c r="C2034" s="316" t="s">
        <v>3970</v>
      </c>
      <c r="D2034" s="316"/>
      <c r="E2034" s="133"/>
      <c r="F2034" s="233"/>
      <c r="G2034" s="233"/>
      <c r="H2034" s="233"/>
      <c r="I2034" s="206"/>
      <c r="J2034" s="217"/>
      <c r="K2034" s="388"/>
    </row>
    <row r="2035" spans="1:11" ht="15" customHeight="1" x14ac:dyDescent="0.25">
      <c r="A2035" s="285"/>
      <c r="B2035" s="285" t="s">
        <v>3564</v>
      </c>
      <c r="C2035" s="315" t="s">
        <v>3971</v>
      </c>
      <c r="D2035" s="315"/>
      <c r="E2035" s="107">
        <f>E2033+1</f>
        <v>1855</v>
      </c>
      <c r="F2035" s="285"/>
      <c r="G2035" s="285" t="s">
        <v>45</v>
      </c>
      <c r="H2035" s="285">
        <f>IF(H1351=1,5,1)</f>
        <v>5</v>
      </c>
      <c r="I2035" s="206"/>
      <c r="J2035" s="199" t="s">
        <v>3972</v>
      </c>
      <c r="K2035" s="388"/>
    </row>
    <row r="2036" spans="1:11" ht="15" customHeight="1" x14ac:dyDescent="0.25">
      <c r="A2036" s="313"/>
      <c r="B2036" s="313" t="s">
        <v>3567</v>
      </c>
      <c r="C2036" s="314" t="s">
        <v>3973</v>
      </c>
      <c r="D2036" s="314"/>
      <c r="E2036" s="107">
        <f>E2035+1</f>
        <v>1856</v>
      </c>
      <c r="F2036" s="392"/>
      <c r="G2036" s="233" t="s">
        <v>1155</v>
      </c>
      <c r="H2036" s="247">
        <v>1</v>
      </c>
      <c r="I2036" s="207"/>
      <c r="J2036" s="199" t="s">
        <v>3966</v>
      </c>
      <c r="K2036" s="388"/>
    </row>
    <row r="2037" spans="1:11" ht="15" customHeight="1" x14ac:dyDescent="0.25">
      <c r="A2037" s="285"/>
      <c r="B2037" s="285" t="s">
        <v>3570</v>
      </c>
      <c r="C2037" s="315" t="s">
        <v>3974</v>
      </c>
      <c r="D2037" s="315"/>
      <c r="E2037" s="107">
        <f>E2036+1</f>
        <v>1857</v>
      </c>
      <c r="F2037" s="433"/>
      <c r="G2037" s="285" t="s">
        <v>1151</v>
      </c>
      <c r="H2037" s="317">
        <f>H1352</f>
        <v>20</v>
      </c>
      <c r="I2037" s="207"/>
      <c r="J2037" s="199" t="s">
        <v>3975</v>
      </c>
      <c r="K2037" s="388"/>
    </row>
    <row r="2038" spans="1:11" ht="30" customHeight="1" x14ac:dyDescent="0.25">
      <c r="A2038" s="313"/>
      <c r="B2038" s="313" t="s">
        <v>3572</v>
      </c>
      <c r="C2038" s="314" t="s">
        <v>3976</v>
      </c>
      <c r="D2038" s="314"/>
      <c r="E2038" s="107">
        <f>E2037+1</f>
        <v>1858</v>
      </c>
      <c r="F2038" s="233"/>
      <c r="G2038" s="233" t="s">
        <v>45</v>
      </c>
      <c r="H2038" s="412" t="s">
        <v>148</v>
      </c>
      <c r="I2038" s="207"/>
      <c r="J2038" s="202"/>
      <c r="K2038" s="388"/>
    </row>
    <row r="2039" spans="1:11" ht="15" customHeight="1" x14ac:dyDescent="0.25">
      <c r="A2039" s="285"/>
      <c r="B2039" s="285" t="s">
        <v>3576</v>
      </c>
      <c r="C2039" s="315" t="s">
        <v>3977</v>
      </c>
      <c r="D2039" s="315"/>
      <c r="E2039" s="107">
        <f>E2038+1</f>
        <v>1859</v>
      </c>
      <c r="F2039" s="285"/>
      <c r="G2039" s="285" t="s">
        <v>3569</v>
      </c>
      <c r="H2039" s="285">
        <f>IF(AND(H2037&lt;=3000,H2036&gt;5,H2036&lt;=30,H2038="Tidak Ada"),4,IF(AND(H2037&lt;=3000,H2036&gt;30,H2038="Tidak Ada"),3,
IF(AND(H2037&gt;3000,H2037&lt;=12000,H2036&lt;=5,OR(H2038="Ada",H2038="Tidak Ada")),4,IF(AND(H2037&gt;3000,H2037&lt;=12000,H2036&gt;5,H2036&lt;=30,H2038="Ada"),3,IF(AND(H2037&gt;3000,H2037&lt;=12000,H2036&gt;5,H2036&lt;=30,H2038="Tidak Ada"),2,IF(AND(H2037&gt;3000,H2037&lt;=12000,H2036&gt;30,H2038="Ada"),3,IF(AND(H2037&gt;3000,H2037&lt;=12000,H2036&gt;30,H2038="Tidak Ada"),2,
IF(AND(H2037&gt;12000,H2036&lt;=5,H2038="Ada"),4,IF(AND(H2037&gt;12000,H2036&lt;=5,H2038="Tidak Ada"),2,IF(AND(H2037&gt;12000,H2036&gt;5,H2036&lt;=30,H2038="Ada"),2,IF(AND(H2037&gt;12000,H2036&gt;5,H2036&lt;=30,H2038="Tidak Ada"),1,IF(AND(H2037&gt;12000,H2036&gt;30,OR(H2038="Ada",H2038="Tidak Ada")),1,5))))))))))))</f>
        <v>5</v>
      </c>
      <c r="I2039" s="206"/>
      <c r="J2039" s="202"/>
      <c r="K2039" s="388"/>
    </row>
    <row r="2040" spans="1:11" ht="15" customHeight="1" x14ac:dyDescent="0.25">
      <c r="A2040" s="581">
        <v>32</v>
      </c>
      <c r="B2040" s="566"/>
      <c r="C2040" s="318" t="s">
        <v>3978</v>
      </c>
      <c r="D2040" s="318"/>
      <c r="E2040" s="133"/>
      <c r="F2040" s="233"/>
      <c r="G2040" s="233"/>
      <c r="H2040" s="233"/>
      <c r="I2040" s="205"/>
      <c r="J2040" s="202"/>
      <c r="K2040" s="388"/>
    </row>
    <row r="2041" spans="1:11" ht="15" customHeight="1" x14ac:dyDescent="0.25">
      <c r="A2041" s="285"/>
      <c r="B2041" s="285" t="s">
        <v>3564</v>
      </c>
      <c r="C2041" s="315" t="s">
        <v>3979</v>
      </c>
      <c r="D2041" s="315"/>
      <c r="E2041" s="107">
        <f>E2039+1</f>
        <v>1860</v>
      </c>
      <c r="F2041" s="285"/>
      <c r="G2041" s="285" t="s">
        <v>45</v>
      </c>
      <c r="H2041" s="285">
        <f>IF(H1358=1,5,1)</f>
        <v>5</v>
      </c>
      <c r="I2041" s="206"/>
      <c r="J2041" s="199" t="s">
        <v>3980</v>
      </c>
      <c r="K2041" s="388"/>
    </row>
    <row r="2042" spans="1:11" ht="15" customHeight="1" x14ac:dyDescent="0.25">
      <c r="A2042" s="313"/>
      <c r="B2042" s="313" t="s">
        <v>3567</v>
      </c>
      <c r="C2042" s="314" t="s">
        <v>3981</v>
      </c>
      <c r="D2042" s="314"/>
      <c r="E2042" s="107">
        <f>E2041+1</f>
        <v>1861</v>
      </c>
      <c r="F2042" s="392"/>
      <c r="G2042" s="233" t="s">
        <v>1155</v>
      </c>
      <c r="H2042" s="247">
        <v>1</v>
      </c>
      <c r="I2042" s="207"/>
      <c r="J2042" s="199" t="s">
        <v>3966</v>
      </c>
      <c r="K2042" s="388"/>
    </row>
    <row r="2043" spans="1:11" ht="15" customHeight="1" x14ac:dyDescent="0.25">
      <c r="A2043" s="313"/>
      <c r="B2043" s="313" t="s">
        <v>3570</v>
      </c>
      <c r="C2043" s="314" t="s">
        <v>3982</v>
      </c>
      <c r="D2043" s="314"/>
      <c r="E2043" s="107">
        <f>E2042+1</f>
        <v>1862</v>
      </c>
      <c r="F2043" s="392"/>
      <c r="G2043" s="233" t="s">
        <v>1151</v>
      </c>
      <c r="H2043" s="247">
        <v>20</v>
      </c>
      <c r="I2043" s="207"/>
      <c r="J2043" s="199" t="s">
        <v>1152</v>
      </c>
      <c r="K2043" s="388"/>
    </row>
    <row r="2044" spans="1:11" ht="30" customHeight="1" x14ac:dyDescent="0.25">
      <c r="A2044" s="313"/>
      <c r="B2044" s="313" t="s">
        <v>3572</v>
      </c>
      <c r="C2044" s="314" t="s">
        <v>3983</v>
      </c>
      <c r="D2044" s="314"/>
      <c r="E2044" s="107">
        <f>E2043+1</f>
        <v>1863</v>
      </c>
      <c r="F2044" s="233"/>
      <c r="G2044" s="233" t="s">
        <v>45</v>
      </c>
      <c r="H2044" s="412" t="s">
        <v>148</v>
      </c>
      <c r="I2044" s="207"/>
      <c r="J2044" s="202"/>
      <c r="K2044" s="388"/>
    </row>
    <row r="2045" spans="1:11" ht="15" customHeight="1" x14ac:dyDescent="0.25">
      <c r="A2045" s="285"/>
      <c r="B2045" s="285" t="s">
        <v>3576</v>
      </c>
      <c r="C2045" s="315" t="s">
        <v>3984</v>
      </c>
      <c r="D2045" s="315"/>
      <c r="E2045" s="107">
        <f>E2044+1</f>
        <v>1864</v>
      </c>
      <c r="F2045" s="285"/>
      <c r="G2045" s="285" t="s">
        <v>3569</v>
      </c>
      <c r="H2045" s="285">
        <f>IF(AND(H2043&lt;=5000,H2042&gt;5,H2042&lt;=30,H2044="Tidak Ada"),4,IF(AND(H2043&lt;=5000,H2042&gt;30,H2044="Tidak Ada"),3,
IF(AND(H2043&gt;5000,H2043&lt;=19000,H2042&lt;=5,OR(H2044="Ada",H2044="Tidak Ada")),4,IF(AND(H2043&gt;5000,H2043&lt;=19000,H2042&gt;5,H2042&lt;=30,H2044="Ada"),3,IF(AND(H2043&gt;5000,H2043&lt;=19000,H2042&gt;5,H2042&lt;=30,H2044="Tidak Ada"),2,IF(AND(H2043&gt;5000,H2043&lt;=19000,H2042&gt;30,H2044="Ada"),3,IF(AND(H2043&gt;5000,H2043&lt;=19000,H2042&gt;30,H2044="Tidak Ada"),2,
IF(AND(H2043&gt;19000,H2042&lt;=5,H2044="Ada"),4,IF(AND(H2043&gt;19000,H2042&lt;=5,H2044="Tidak Ada"),2,IF(AND(H2043&gt;19000,H2042&gt;5,H2042&lt;=30,H2044="Ada"),2,IF(AND(H2043&gt;19000,H2042&gt;5,H2042&lt;=30,H2044="Tidak Ada"),1,IF(AND(H2043&gt;19000,H2042&gt;30,OR(H2044="Ada",H2044="Tidak Ada")),1,5))))))))))))</f>
        <v>5</v>
      </c>
      <c r="I2045" s="206"/>
      <c r="J2045" s="202"/>
      <c r="K2045" s="388"/>
    </row>
    <row r="2046" spans="1:11" ht="15" customHeight="1" x14ac:dyDescent="0.25">
      <c r="A2046" s="581">
        <v>33</v>
      </c>
      <c r="B2046" s="566"/>
      <c r="C2046" s="318" t="s">
        <v>3985</v>
      </c>
      <c r="D2046" s="318"/>
      <c r="E2046" s="133"/>
      <c r="F2046" s="233"/>
      <c r="G2046" s="233"/>
      <c r="H2046" s="233"/>
      <c r="I2046" s="205"/>
      <c r="J2046" s="202"/>
      <c r="K2046" s="388"/>
    </row>
    <row r="2047" spans="1:11" ht="15" customHeight="1" x14ac:dyDescent="0.25">
      <c r="A2047" s="285"/>
      <c r="B2047" s="285" t="s">
        <v>3564</v>
      </c>
      <c r="C2047" s="315" t="s">
        <v>3986</v>
      </c>
      <c r="D2047" s="315"/>
      <c r="E2047" s="107">
        <f>E2045+1</f>
        <v>1865</v>
      </c>
      <c r="F2047" s="285"/>
      <c r="G2047" s="285" t="s">
        <v>45</v>
      </c>
      <c r="H2047" s="285">
        <f>IF(H1359=1,5,1)</f>
        <v>5</v>
      </c>
      <c r="I2047" s="206"/>
      <c r="J2047" s="199" t="s">
        <v>3987</v>
      </c>
      <c r="K2047" s="388"/>
    </row>
    <row r="2048" spans="1:11" ht="15" customHeight="1" x14ac:dyDescent="0.25">
      <c r="A2048" s="285"/>
      <c r="B2048" s="285" t="s">
        <v>3567</v>
      </c>
      <c r="C2048" s="315" t="s">
        <v>3988</v>
      </c>
      <c r="D2048" s="315"/>
      <c r="E2048" s="107">
        <f>E2047+1</f>
        <v>1866</v>
      </c>
      <c r="F2048" s="433"/>
      <c r="G2048" s="285" t="s">
        <v>1155</v>
      </c>
      <c r="H2048" s="285">
        <f>H1361</f>
        <v>3</v>
      </c>
      <c r="I2048" s="207"/>
      <c r="J2048" s="199" t="s">
        <v>3989</v>
      </c>
      <c r="K2048" s="388"/>
    </row>
    <row r="2049" spans="1:11" ht="15" customHeight="1" x14ac:dyDescent="0.25">
      <c r="A2049" s="285"/>
      <c r="B2049" s="285" t="s">
        <v>3570</v>
      </c>
      <c r="C2049" s="315" t="s">
        <v>3990</v>
      </c>
      <c r="D2049" s="315"/>
      <c r="E2049" s="107">
        <f>E2048+1</f>
        <v>1867</v>
      </c>
      <c r="F2049" s="433"/>
      <c r="G2049" s="285" t="s">
        <v>1151</v>
      </c>
      <c r="H2049" s="317">
        <f>H1360</f>
        <v>1600</v>
      </c>
      <c r="I2049" s="207"/>
      <c r="J2049" s="199" t="s">
        <v>3991</v>
      </c>
      <c r="K2049" s="388"/>
    </row>
    <row r="2050" spans="1:11" ht="30" customHeight="1" x14ac:dyDescent="0.25">
      <c r="A2050" s="313"/>
      <c r="B2050" s="313" t="s">
        <v>3572</v>
      </c>
      <c r="C2050" s="314" t="s">
        <v>3992</v>
      </c>
      <c r="D2050" s="314"/>
      <c r="E2050" s="107">
        <f>E2049+1</f>
        <v>1868</v>
      </c>
      <c r="F2050" s="233"/>
      <c r="G2050" s="233" t="s">
        <v>45</v>
      </c>
      <c r="H2050" s="412" t="s">
        <v>148</v>
      </c>
      <c r="I2050" s="207"/>
      <c r="J2050" s="202"/>
      <c r="K2050" s="388"/>
    </row>
    <row r="2051" spans="1:11" ht="15" customHeight="1" x14ac:dyDescent="0.25">
      <c r="A2051" s="285"/>
      <c r="B2051" s="285" t="s">
        <v>3576</v>
      </c>
      <c r="C2051" s="315" t="s">
        <v>3993</v>
      </c>
      <c r="D2051" s="315"/>
      <c r="E2051" s="107">
        <f>E2050+1</f>
        <v>1869</v>
      </c>
      <c r="F2051" s="285"/>
      <c r="G2051" s="285" t="s">
        <v>3569</v>
      </c>
      <c r="H2051" s="285">
        <f>IF(AND(H2049&lt;=7000,H2048&gt;5,H2048&lt;=30,H2050="Tidak Ada"),4,IF(AND(H2049&lt;=7000,H2048&gt;30,H2050="Tidak Ada"),3,
IF(AND(H2049&gt;7000,H2049&lt;=21000,H2048&lt;=5,OR(H2050="Ada",H2050="Tidak Ada")),4,IF(AND(H2049&gt;7000,H2049&lt;=21000,H2048&gt;5,H2048&lt;=30,H2050="Ada"),3,IF(AND(H2049&gt;7000,H2049&lt;=21000,H2048&gt;5,H2048&lt;=30,H2050="Tidak Ada"),2,IF(AND(H2049&gt;7000,H2049&lt;=21000,H2048&gt;30,H2050="Ada"),3,IF(AND(H2049&gt;7000,H2049&lt;=21000,H2048&gt;30,H2050="Tidak Ada"),2,
IF(AND(H2049&gt;21000,H2048&lt;=5,H2050="Ada"),4,IF(AND(H2049&gt;21000,H2048&lt;=5,H2050="Tidak Ada"),2,IF(AND(H2049&gt;21000,H2048&gt;5,H2048&lt;=30,H2050="Ada"),2,IF(AND(H2049&gt;21000,H2048&gt;5,H2048&lt;=30,H2050="Tidak Ada"),1,IF(AND(H2049&gt;21000,H2048&gt;30,OR(H2050="Ada",H2050="Tidak Ada")),1,5))))))))))))</f>
        <v>5</v>
      </c>
      <c r="I2051" s="206"/>
      <c r="J2051" s="202"/>
      <c r="K2051" s="388"/>
    </row>
    <row r="2052" spans="1:11" ht="15" customHeight="1" x14ac:dyDescent="0.25">
      <c r="A2052" s="581">
        <v>34</v>
      </c>
      <c r="B2052" s="566"/>
      <c r="C2052" s="318" t="s">
        <v>3994</v>
      </c>
      <c r="D2052" s="318"/>
      <c r="E2052" s="133"/>
      <c r="F2052" s="233"/>
      <c r="G2052" s="233"/>
      <c r="H2052" s="233"/>
      <c r="I2052" s="205"/>
      <c r="J2052" s="202"/>
      <c r="K2052" s="388"/>
    </row>
    <row r="2053" spans="1:11" ht="15" customHeight="1" x14ac:dyDescent="0.25">
      <c r="A2053" s="285"/>
      <c r="B2053" s="285" t="s">
        <v>3564</v>
      </c>
      <c r="C2053" s="315" t="s">
        <v>3995</v>
      </c>
      <c r="D2053" s="315"/>
      <c r="E2053" s="107">
        <f>E2051+1</f>
        <v>1870</v>
      </c>
      <c r="F2053" s="285"/>
      <c r="G2053" s="285" t="s">
        <v>45</v>
      </c>
      <c r="H2053" s="285">
        <f>IF(SUM(H1367,H1369)&gt;0,5,1)</f>
        <v>5</v>
      </c>
      <c r="I2053" s="206"/>
      <c r="J2053" s="212" t="s">
        <v>3996</v>
      </c>
      <c r="K2053" s="388"/>
    </row>
    <row r="2054" spans="1:11" ht="15" customHeight="1" x14ac:dyDescent="0.25">
      <c r="A2054" s="313"/>
      <c r="B2054" s="313" t="s">
        <v>3567</v>
      </c>
      <c r="C2054" s="314" t="s">
        <v>3997</v>
      </c>
      <c r="D2054" s="314"/>
      <c r="E2054" s="107">
        <f>E2053+1</f>
        <v>1871</v>
      </c>
      <c r="F2054" s="392"/>
      <c r="G2054" s="233" t="s">
        <v>1155</v>
      </c>
      <c r="H2054" s="247">
        <v>18</v>
      </c>
      <c r="I2054" s="207"/>
      <c r="J2054" s="199" t="s">
        <v>3966</v>
      </c>
      <c r="K2054" s="388"/>
    </row>
    <row r="2055" spans="1:11" ht="15" customHeight="1" x14ac:dyDescent="0.25">
      <c r="A2055" s="285"/>
      <c r="B2055" s="285" t="s">
        <v>3570</v>
      </c>
      <c r="C2055" s="315" t="s">
        <v>3998</v>
      </c>
      <c r="D2055" s="315"/>
      <c r="E2055" s="107">
        <f>E2054+1</f>
        <v>1872</v>
      </c>
      <c r="F2055" s="433"/>
      <c r="G2055" s="285" t="s">
        <v>1151</v>
      </c>
      <c r="H2055" s="317">
        <f>IF(H1367&gt;H1369,H1368,
IF(H1369&gt;H1367,H1370,
IF(AND(H1367=H1369,H1368&lt;H1370),H1368,H1370)))</f>
        <v>14000</v>
      </c>
      <c r="I2055" s="461" t="s">
        <v>3999</v>
      </c>
      <c r="J2055" s="212" t="s">
        <v>4000</v>
      </c>
      <c r="K2055" s="388"/>
    </row>
    <row r="2056" spans="1:11" ht="30" customHeight="1" x14ac:dyDescent="0.25">
      <c r="A2056" s="313"/>
      <c r="B2056" s="313" t="s">
        <v>3572</v>
      </c>
      <c r="C2056" s="314" t="s">
        <v>4001</v>
      </c>
      <c r="D2056" s="314"/>
      <c r="E2056" s="107">
        <f>E2055+1</f>
        <v>1873</v>
      </c>
      <c r="F2056" s="233"/>
      <c r="G2056" s="233" t="s">
        <v>45</v>
      </c>
      <c r="H2056" s="412" t="s">
        <v>148</v>
      </c>
      <c r="I2056" s="207"/>
      <c r="J2056" s="202"/>
      <c r="K2056" s="388"/>
    </row>
    <row r="2057" spans="1:11" ht="30" customHeight="1" x14ac:dyDescent="0.25">
      <c r="A2057" s="285"/>
      <c r="B2057" s="285" t="s">
        <v>3576</v>
      </c>
      <c r="C2057" s="315" t="s">
        <v>4002</v>
      </c>
      <c r="D2057" s="315"/>
      <c r="E2057" s="107">
        <f>E2056+1</f>
        <v>1874</v>
      </c>
      <c r="F2057" s="285"/>
      <c r="G2057" s="285" t="s">
        <v>3569</v>
      </c>
      <c r="H2057" s="285">
        <f>IF(AND(H2055&lt;=3000,H2054&gt;5,H2054&lt;=30,H2056="Tidak Ada"),4,IF(AND(H2055&lt;=3000,H2054&gt;30,H2056="Tidak Ada"),3,
IF(AND(H2055&gt;3000,H2055&lt;=7000,H2054&lt;=5,OR(H2056="Ada",H2056="Tidak Ada")),4,IF(AND(H2055&gt;3000,H2055&lt;=7000,H2054&gt;5,H2054&lt;=30,H2056="Ada"),3,IF(AND(H2055&gt;3000,H2055&lt;=7000,H2054&gt;5,H2054&lt;=30,H2056="Tidak Ada"),2,IF(AND(H2055&gt;3000,H2055&lt;=7000,H2054&gt;30,H2056="Ada"),3,IF(AND(H2055&gt;3000,H2055&lt;=7000,H2054&gt;30,H2056="Tidak Ada"),2,
IF(AND(H2055&gt;7000,H2054&lt;=5,H2056="Ada"),4,IF(AND(H2055&gt;7000,H2054&lt;=5,H2056="Tidak Ada"),2,IF(AND(H2055&gt;7000,H2054&gt;5,H2054&lt;=30,H2056="Ada"),2,IF(AND(H2055&gt;7000,H2054&gt;5,H2054&lt;=30,H2056="Tidak Ada"),1,IF(AND(H2055&gt;7000,H2054&gt;30,OR(H2056="Ada",H2056="Tidak Ada")),1,5))))))))))))</f>
        <v>2</v>
      </c>
      <c r="I2057" s="206"/>
      <c r="J2057" s="202"/>
      <c r="K2057" s="388"/>
    </row>
    <row r="2058" spans="1:11" ht="15" customHeight="1" x14ac:dyDescent="0.25">
      <c r="A2058" s="581">
        <v>35</v>
      </c>
      <c r="B2058" s="566"/>
      <c r="C2058" s="318" t="s">
        <v>4003</v>
      </c>
      <c r="D2058" s="318"/>
      <c r="E2058" s="133"/>
      <c r="F2058" s="233"/>
      <c r="G2058" s="233"/>
      <c r="H2058" s="233"/>
      <c r="I2058" s="205"/>
      <c r="J2058" s="202"/>
      <c r="K2058" s="388"/>
    </row>
    <row r="2059" spans="1:11" ht="15" customHeight="1" x14ac:dyDescent="0.25">
      <c r="A2059" s="285"/>
      <c r="B2059" s="285" t="s">
        <v>3564</v>
      </c>
      <c r="C2059" s="319" t="s">
        <v>4004</v>
      </c>
      <c r="D2059" s="319"/>
      <c r="E2059" s="107">
        <f>E2057+1</f>
        <v>1875</v>
      </c>
      <c r="F2059" s="285"/>
      <c r="G2059" s="285" t="s">
        <v>45</v>
      </c>
      <c r="H2059" s="285">
        <f>IF(SUM(H1397,H1400)&gt;0,5,1)</f>
        <v>5</v>
      </c>
      <c r="I2059" s="206"/>
      <c r="J2059" s="199" t="s">
        <v>4005</v>
      </c>
      <c r="K2059" s="388"/>
    </row>
    <row r="2060" spans="1:11" ht="30" customHeight="1" x14ac:dyDescent="0.25">
      <c r="A2060" s="313"/>
      <c r="B2060" s="313" t="s">
        <v>3567</v>
      </c>
      <c r="C2060" s="320" t="s">
        <v>4006</v>
      </c>
      <c r="D2060" s="320"/>
      <c r="E2060" s="107">
        <f t="shared" ref="E2060:E2065" si="167">E2059+1</f>
        <v>1876</v>
      </c>
      <c r="F2060" s="233"/>
      <c r="G2060" s="233" t="s">
        <v>45</v>
      </c>
      <c r="H2060" s="412">
        <v>5</v>
      </c>
      <c r="I2060" s="206"/>
      <c r="J2060" s="202"/>
      <c r="K2060" s="388"/>
    </row>
    <row r="2061" spans="1:11" ht="30" customHeight="1" x14ac:dyDescent="0.25">
      <c r="A2061" s="313"/>
      <c r="B2061" s="313"/>
      <c r="C2061" s="314" t="s">
        <v>4007</v>
      </c>
      <c r="D2061" s="314"/>
      <c r="E2061" s="107">
        <f t="shared" si="167"/>
        <v>1877</v>
      </c>
      <c r="F2061" s="233"/>
      <c r="G2061" s="233" t="s">
        <v>4008</v>
      </c>
      <c r="H2061" s="412" t="s">
        <v>4009</v>
      </c>
      <c r="I2061" s="207"/>
      <c r="J2061" s="202"/>
      <c r="K2061" s="388"/>
    </row>
    <row r="2062" spans="1:11" ht="15" customHeight="1" x14ac:dyDescent="0.25">
      <c r="A2062" s="313"/>
      <c r="B2062" s="313" t="s">
        <v>3570</v>
      </c>
      <c r="C2062" s="314" t="s">
        <v>4010</v>
      </c>
      <c r="D2062" s="314"/>
      <c r="E2062" s="107">
        <f t="shared" si="167"/>
        <v>1878</v>
      </c>
      <c r="F2062" s="233"/>
      <c r="G2062" s="233" t="s">
        <v>45</v>
      </c>
      <c r="H2062" s="412">
        <v>4</v>
      </c>
      <c r="I2062" s="206"/>
      <c r="J2062" s="202"/>
      <c r="K2062" s="388"/>
    </row>
    <row r="2063" spans="1:11" ht="30" customHeight="1" x14ac:dyDescent="0.25">
      <c r="A2063" s="313"/>
      <c r="B2063" s="313" t="s">
        <v>3572</v>
      </c>
      <c r="C2063" s="314" t="s">
        <v>4011</v>
      </c>
      <c r="D2063" s="314"/>
      <c r="E2063" s="107">
        <f t="shared" si="167"/>
        <v>1879</v>
      </c>
      <c r="F2063" s="233"/>
      <c r="G2063" s="233" t="s">
        <v>45</v>
      </c>
      <c r="H2063" s="412">
        <v>5</v>
      </c>
      <c r="I2063" s="206"/>
      <c r="J2063" s="202"/>
      <c r="K2063" s="388"/>
    </row>
    <row r="2064" spans="1:11" ht="15" customHeight="1" x14ac:dyDescent="0.25">
      <c r="A2064" s="313"/>
      <c r="B2064" s="313"/>
      <c r="C2064" s="314" t="s">
        <v>4012</v>
      </c>
      <c r="D2064" s="314"/>
      <c r="E2064" s="107">
        <f t="shared" si="167"/>
        <v>1880</v>
      </c>
      <c r="F2064" s="233"/>
      <c r="G2064" s="233" t="s">
        <v>45</v>
      </c>
      <c r="H2064" s="412">
        <v>1</v>
      </c>
      <c r="I2064" s="206"/>
      <c r="J2064" s="202"/>
      <c r="K2064" s="388"/>
    </row>
    <row r="2065" spans="1:11" ht="15" customHeight="1" x14ac:dyDescent="0.25">
      <c r="A2065" s="285"/>
      <c r="B2065" s="285"/>
      <c r="C2065" s="315" t="s">
        <v>4013</v>
      </c>
      <c r="D2065" s="315"/>
      <c r="E2065" s="107">
        <f t="shared" si="167"/>
        <v>1881</v>
      </c>
      <c r="F2065" s="285"/>
      <c r="G2065" s="285" t="s">
        <v>45</v>
      </c>
      <c r="H2065" s="285">
        <f>IF(H1341&gt;0,5,1)</f>
        <v>5</v>
      </c>
      <c r="I2065" s="206"/>
      <c r="J2065" s="199" t="s">
        <v>4014</v>
      </c>
      <c r="K2065" s="388"/>
    </row>
    <row r="2066" spans="1:11" ht="15" customHeight="1" x14ac:dyDescent="0.25">
      <c r="A2066" s="581">
        <v>36</v>
      </c>
      <c r="B2066" s="566"/>
      <c r="C2066" s="318" t="s">
        <v>4015</v>
      </c>
      <c r="D2066" s="318"/>
      <c r="E2066" s="133"/>
      <c r="F2066" s="233"/>
      <c r="G2066" s="233"/>
      <c r="H2066" s="233"/>
      <c r="I2066" s="205"/>
      <c r="J2066" s="202"/>
      <c r="K2066" s="388"/>
    </row>
    <row r="2067" spans="1:11" ht="15" customHeight="1" x14ac:dyDescent="0.25">
      <c r="A2067" s="285"/>
      <c r="B2067" s="285" t="s">
        <v>3564</v>
      </c>
      <c r="C2067" s="315" t="s">
        <v>4016</v>
      </c>
      <c r="D2067" s="315"/>
      <c r="E2067" s="107">
        <f>E2065+1</f>
        <v>1882</v>
      </c>
      <c r="F2067" s="285"/>
      <c r="G2067" s="285" t="s">
        <v>45</v>
      </c>
      <c r="H2067" s="285">
        <f>IF(SUM(H1385,H1387)&gt;0,5,1)</f>
        <v>5</v>
      </c>
      <c r="I2067" s="206"/>
      <c r="J2067" s="199" t="s">
        <v>4017</v>
      </c>
      <c r="K2067" s="388"/>
    </row>
    <row r="2068" spans="1:11" ht="15" customHeight="1" x14ac:dyDescent="0.25">
      <c r="A2068" s="313"/>
      <c r="B2068" s="393"/>
      <c r="C2068" s="314" t="s">
        <v>4018</v>
      </c>
      <c r="D2068" s="314"/>
      <c r="E2068" s="107">
        <f>E2067+1</f>
        <v>1883</v>
      </c>
      <c r="F2068" s="233"/>
      <c r="G2068" s="233" t="s">
        <v>45</v>
      </c>
      <c r="H2068" s="412">
        <v>5</v>
      </c>
      <c r="I2068" s="206"/>
      <c r="J2068" s="202"/>
      <c r="K2068" s="388"/>
    </row>
    <row r="2069" spans="1:11" ht="15" customHeight="1" x14ac:dyDescent="0.25">
      <c r="A2069" s="313"/>
      <c r="B2069" s="313" t="s">
        <v>3567</v>
      </c>
      <c r="C2069" s="318" t="s">
        <v>4019</v>
      </c>
      <c r="D2069" s="318"/>
      <c r="E2069" s="133"/>
      <c r="F2069" s="233"/>
      <c r="G2069" s="233"/>
      <c r="H2069" s="233"/>
      <c r="I2069" s="205"/>
      <c r="J2069" s="202"/>
      <c r="K2069" s="388"/>
    </row>
    <row r="2070" spans="1:11" ht="15" customHeight="1" x14ac:dyDescent="0.25">
      <c r="A2070" s="285"/>
      <c r="B2070" s="285"/>
      <c r="C2070" s="319" t="s">
        <v>4020</v>
      </c>
      <c r="D2070" s="319"/>
      <c r="E2070" s="107">
        <f>E2068+1</f>
        <v>1884</v>
      </c>
      <c r="F2070" s="285"/>
      <c r="G2070" s="285" t="s">
        <v>45</v>
      </c>
      <c r="H2070" s="285">
        <f>IF(H1390=1,5,1)</f>
        <v>5</v>
      </c>
      <c r="I2070" s="206"/>
      <c r="J2070" s="199" t="s">
        <v>4021</v>
      </c>
      <c r="K2070" s="388"/>
    </row>
    <row r="2071" spans="1:11" ht="15" customHeight="1" x14ac:dyDescent="0.25">
      <c r="A2071" s="285"/>
      <c r="B2071" s="285"/>
      <c r="C2071" s="319" t="s">
        <v>4022</v>
      </c>
      <c r="D2071" s="319"/>
      <c r="E2071" s="107">
        <f>E2070+1</f>
        <v>1885</v>
      </c>
      <c r="F2071" s="285"/>
      <c r="G2071" s="285" t="s">
        <v>45</v>
      </c>
      <c r="H2071" s="285">
        <f>IF(H1391=1,5,1)</f>
        <v>1</v>
      </c>
      <c r="I2071" s="206"/>
      <c r="J2071" s="199" t="s">
        <v>4023</v>
      </c>
      <c r="K2071" s="388"/>
    </row>
    <row r="2072" spans="1:11" ht="15" customHeight="1" x14ac:dyDescent="0.25">
      <c r="A2072" s="285"/>
      <c r="B2072" s="285"/>
      <c r="C2072" s="319" t="s">
        <v>4024</v>
      </c>
      <c r="D2072" s="319"/>
      <c r="E2072" s="107">
        <f>E2071+1</f>
        <v>1886</v>
      </c>
      <c r="F2072" s="285"/>
      <c r="G2072" s="285" t="s">
        <v>45</v>
      </c>
      <c r="H2072" s="285">
        <f>IF(H1392=1,5,1)</f>
        <v>1</v>
      </c>
      <c r="I2072" s="206"/>
      <c r="J2072" s="199" t="s">
        <v>4025</v>
      </c>
      <c r="K2072" s="388"/>
    </row>
    <row r="2073" spans="1:11" ht="15" customHeight="1" x14ac:dyDescent="0.25">
      <c r="A2073" s="313"/>
      <c r="B2073" s="313" t="s">
        <v>3570</v>
      </c>
      <c r="C2073" s="320" t="s">
        <v>4026</v>
      </c>
      <c r="D2073" s="320"/>
      <c r="E2073" s="107">
        <f>E2072+1</f>
        <v>1887</v>
      </c>
      <c r="F2073" s="233"/>
      <c r="G2073" s="233" t="s">
        <v>45</v>
      </c>
      <c r="H2073" s="412">
        <v>5</v>
      </c>
      <c r="I2073" s="206"/>
      <c r="J2073" s="202"/>
      <c r="K2073" s="388"/>
    </row>
    <row r="2074" spans="1:11" ht="15" customHeight="1" x14ac:dyDescent="0.25">
      <c r="A2074" s="584">
        <v>4</v>
      </c>
      <c r="B2074" s="566"/>
      <c r="C2074" s="321" t="s">
        <v>4027</v>
      </c>
      <c r="D2074" s="321"/>
      <c r="E2074" s="133"/>
      <c r="F2074" s="406"/>
      <c r="G2074" s="406"/>
      <c r="H2074" s="406"/>
      <c r="I2074" s="205"/>
      <c r="J2074" s="202"/>
      <c r="K2074" s="388"/>
    </row>
    <row r="2075" spans="1:11" ht="15" customHeight="1" x14ac:dyDescent="0.25">
      <c r="A2075" s="584" t="s">
        <v>4028</v>
      </c>
      <c r="B2075" s="566"/>
      <c r="C2075" s="321" t="s">
        <v>4029</v>
      </c>
      <c r="D2075" s="321"/>
      <c r="E2075" s="133"/>
      <c r="F2075" s="406"/>
      <c r="G2075" s="406"/>
      <c r="H2075" s="406"/>
      <c r="I2075" s="205"/>
      <c r="J2075" s="202"/>
      <c r="K2075" s="388"/>
    </row>
    <row r="2076" spans="1:11" ht="15" customHeight="1" x14ac:dyDescent="0.25">
      <c r="A2076" s="584">
        <v>37</v>
      </c>
      <c r="B2076" s="566"/>
      <c r="C2076" s="322" t="s">
        <v>4030</v>
      </c>
      <c r="D2076" s="322"/>
      <c r="E2076" s="133"/>
      <c r="F2076" s="406"/>
      <c r="G2076" s="406"/>
      <c r="H2076" s="406"/>
      <c r="I2076" s="205"/>
      <c r="J2076" s="202"/>
      <c r="K2076" s="388"/>
    </row>
    <row r="2077" spans="1:11" ht="30" customHeight="1" x14ac:dyDescent="0.25">
      <c r="A2077" s="323"/>
      <c r="B2077" s="323" t="s">
        <v>3564</v>
      </c>
      <c r="C2077" s="324" t="s">
        <v>4031</v>
      </c>
      <c r="D2077" s="324"/>
      <c r="E2077" s="107">
        <f>E2073+1</f>
        <v>1888</v>
      </c>
      <c r="F2077" s="406"/>
      <c r="G2077" s="233" t="s">
        <v>33</v>
      </c>
      <c r="H2077" s="412" t="s">
        <v>64</v>
      </c>
      <c r="I2077" s="206"/>
      <c r="J2077" s="202"/>
      <c r="K2077" s="388"/>
    </row>
    <row r="2078" spans="1:11" ht="60" customHeight="1" x14ac:dyDescent="0.25">
      <c r="A2078" s="323"/>
      <c r="B2078" s="323" t="s">
        <v>3567</v>
      </c>
      <c r="C2078" s="325" t="s">
        <v>4032</v>
      </c>
      <c r="D2078" s="325"/>
      <c r="E2078" s="107">
        <f t="shared" ref="E2078:E2084" si="168">E2077+1</f>
        <v>1889</v>
      </c>
      <c r="F2078" s="406"/>
      <c r="G2078" s="233" t="s">
        <v>45</v>
      </c>
      <c r="H2078" s="412">
        <v>1</v>
      </c>
      <c r="I2078" s="206"/>
      <c r="J2078" s="202"/>
      <c r="K2078" s="388"/>
    </row>
    <row r="2079" spans="1:11" ht="60" customHeight="1" x14ac:dyDescent="0.25">
      <c r="A2079" s="323"/>
      <c r="B2079" s="323" t="s">
        <v>3570</v>
      </c>
      <c r="C2079" s="324" t="s">
        <v>4033</v>
      </c>
      <c r="D2079" s="324"/>
      <c r="E2079" s="107">
        <f t="shared" si="168"/>
        <v>1890</v>
      </c>
      <c r="F2079" s="406"/>
      <c r="G2079" s="233" t="s">
        <v>33</v>
      </c>
      <c r="H2079" s="412" t="s">
        <v>64</v>
      </c>
      <c r="I2079" s="206"/>
      <c r="J2079" s="202"/>
      <c r="K2079" s="388"/>
    </row>
    <row r="2080" spans="1:11" ht="30" customHeight="1" x14ac:dyDescent="0.25">
      <c r="A2080" s="323"/>
      <c r="B2080" s="323" t="s">
        <v>3572</v>
      </c>
      <c r="C2080" s="324" t="s">
        <v>4034</v>
      </c>
      <c r="D2080" s="324"/>
      <c r="E2080" s="107">
        <f t="shared" si="168"/>
        <v>1891</v>
      </c>
      <c r="F2080" s="406"/>
      <c r="G2080" s="233" t="s">
        <v>45</v>
      </c>
      <c r="H2080" s="412">
        <v>1</v>
      </c>
      <c r="I2080" s="8"/>
      <c r="J2080" s="202"/>
      <c r="K2080" s="388"/>
    </row>
    <row r="2081" spans="1:11" ht="45" customHeight="1" x14ac:dyDescent="0.25">
      <c r="A2081" s="323"/>
      <c r="B2081" s="323" t="s">
        <v>3576</v>
      </c>
      <c r="C2081" s="324" t="s">
        <v>4035</v>
      </c>
      <c r="D2081" s="324"/>
      <c r="E2081" s="107">
        <f t="shared" si="168"/>
        <v>1892</v>
      </c>
      <c r="F2081" s="406"/>
      <c r="G2081" s="233" t="s">
        <v>45</v>
      </c>
      <c r="H2081" s="412">
        <v>1</v>
      </c>
      <c r="I2081" s="8"/>
      <c r="J2081" s="202"/>
      <c r="K2081" s="388"/>
    </row>
    <row r="2082" spans="1:11" ht="75" customHeight="1" x14ac:dyDescent="0.25">
      <c r="A2082" s="323"/>
      <c r="B2082" s="323" t="s">
        <v>3580</v>
      </c>
      <c r="C2082" s="324" t="s">
        <v>4036</v>
      </c>
      <c r="D2082" s="324"/>
      <c r="E2082" s="107">
        <f t="shared" si="168"/>
        <v>1893</v>
      </c>
      <c r="F2082" s="233"/>
      <c r="G2082" s="233" t="s">
        <v>45</v>
      </c>
      <c r="H2082" s="412">
        <v>5</v>
      </c>
      <c r="I2082" s="8"/>
      <c r="J2082" s="202"/>
      <c r="K2082" s="388"/>
    </row>
    <row r="2083" spans="1:11" ht="30" customHeight="1" x14ac:dyDescent="0.25">
      <c r="A2083" s="323"/>
      <c r="B2083" s="323" t="s">
        <v>3582</v>
      </c>
      <c r="C2083" s="324" t="s">
        <v>4037</v>
      </c>
      <c r="D2083" s="324"/>
      <c r="E2083" s="107">
        <f t="shared" si="168"/>
        <v>1894</v>
      </c>
      <c r="F2083" s="233"/>
      <c r="G2083" s="233" t="s">
        <v>33</v>
      </c>
      <c r="H2083" s="412" t="s">
        <v>4038</v>
      </c>
      <c r="I2083" s="8"/>
      <c r="J2083" s="202"/>
      <c r="K2083" s="388"/>
    </row>
    <row r="2084" spans="1:11" ht="30" customHeight="1" x14ac:dyDescent="0.25">
      <c r="A2084" s="323"/>
      <c r="B2084" s="323" t="s">
        <v>3584</v>
      </c>
      <c r="C2084" s="324" t="s">
        <v>4039</v>
      </c>
      <c r="D2084" s="324"/>
      <c r="E2084" s="107">
        <f t="shared" si="168"/>
        <v>1895</v>
      </c>
      <c r="F2084" s="233"/>
      <c r="G2084" s="233" t="s">
        <v>33</v>
      </c>
      <c r="H2084" s="412" t="s">
        <v>4040</v>
      </c>
      <c r="I2084" s="8"/>
      <c r="J2084" s="202"/>
      <c r="K2084" s="388"/>
    </row>
    <row r="2085" spans="1:11" ht="15" customHeight="1" x14ac:dyDescent="0.25">
      <c r="A2085" s="584">
        <v>38</v>
      </c>
      <c r="B2085" s="566"/>
      <c r="C2085" s="322" t="s">
        <v>4041</v>
      </c>
      <c r="D2085" s="322"/>
      <c r="E2085" s="133"/>
      <c r="F2085" s="406"/>
      <c r="G2085" s="406"/>
      <c r="H2085" s="406"/>
      <c r="I2085" s="8"/>
      <c r="J2085" s="202"/>
      <c r="K2085" s="388"/>
    </row>
    <row r="2086" spans="1:11" ht="15" customHeight="1" x14ac:dyDescent="0.25">
      <c r="A2086" s="323"/>
      <c r="B2086" s="323" t="s">
        <v>3564</v>
      </c>
      <c r="C2086" s="325" t="s">
        <v>4042</v>
      </c>
      <c r="D2086" s="325"/>
      <c r="E2086" s="107">
        <f>E2084+1</f>
        <v>1896</v>
      </c>
      <c r="F2086" s="406"/>
      <c r="G2086" s="233" t="s">
        <v>45</v>
      </c>
      <c r="H2086" s="412">
        <v>5</v>
      </c>
      <c r="I2086" s="208"/>
      <c r="J2086" s="202"/>
      <c r="K2086" s="388"/>
    </row>
    <row r="2087" spans="1:11" ht="15" customHeight="1" x14ac:dyDescent="0.25">
      <c r="A2087" s="323"/>
      <c r="B2087" s="323" t="s">
        <v>3567</v>
      </c>
      <c r="C2087" s="325" t="s">
        <v>4043</v>
      </c>
      <c r="D2087" s="325"/>
      <c r="E2087" s="107">
        <f>E2086+1</f>
        <v>1897</v>
      </c>
      <c r="F2087" s="406"/>
      <c r="G2087" s="233" t="s">
        <v>33</v>
      </c>
      <c r="H2087" s="412" t="s">
        <v>4044</v>
      </c>
      <c r="I2087" s="216"/>
      <c r="J2087" s="202"/>
      <c r="K2087" s="388"/>
    </row>
    <row r="2088" spans="1:11" ht="15" customHeight="1" x14ac:dyDescent="0.25">
      <c r="A2088" s="323"/>
      <c r="B2088" s="323" t="s">
        <v>3570</v>
      </c>
      <c r="C2088" s="324" t="s">
        <v>4045</v>
      </c>
      <c r="D2088" s="324"/>
      <c r="E2088" s="107">
        <f>E2087+1</f>
        <v>1898</v>
      </c>
      <c r="F2088" s="406"/>
      <c r="G2088" s="233" t="s">
        <v>45</v>
      </c>
      <c r="H2088" s="412">
        <v>1</v>
      </c>
      <c r="I2088" s="208"/>
      <c r="J2088" s="202"/>
      <c r="K2088" s="388"/>
    </row>
    <row r="2089" spans="1:11" ht="15" customHeight="1" x14ac:dyDescent="0.25">
      <c r="A2089" s="323"/>
      <c r="B2089" s="323" t="s">
        <v>3572</v>
      </c>
      <c r="C2089" s="324" t="s">
        <v>4046</v>
      </c>
      <c r="D2089" s="324"/>
      <c r="E2089" s="107">
        <f>E2088+1</f>
        <v>1899</v>
      </c>
      <c r="F2089" s="406"/>
      <c r="G2089" s="233" t="s">
        <v>33</v>
      </c>
      <c r="H2089" s="412" t="s">
        <v>64</v>
      </c>
      <c r="I2089" s="208"/>
      <c r="J2089" s="202"/>
      <c r="K2089" s="388"/>
    </row>
    <row r="2090" spans="1:11" ht="15" customHeight="1" x14ac:dyDescent="0.25">
      <c r="A2090" s="323"/>
      <c r="B2090" s="323" t="s">
        <v>3576</v>
      </c>
      <c r="C2090" s="324" t="s">
        <v>4047</v>
      </c>
      <c r="D2090" s="324"/>
      <c r="E2090" s="107">
        <f>E2089+1</f>
        <v>1900</v>
      </c>
      <c r="F2090" s="233"/>
      <c r="G2090" s="233" t="s">
        <v>45</v>
      </c>
      <c r="H2090" s="412">
        <v>1</v>
      </c>
      <c r="I2090" s="208"/>
      <c r="J2090" s="202"/>
      <c r="K2090" s="388"/>
    </row>
    <row r="2091" spans="1:11" ht="30" customHeight="1" x14ac:dyDescent="0.25">
      <c r="A2091" s="323"/>
      <c r="B2091" s="323" t="s">
        <v>3580</v>
      </c>
      <c r="C2091" s="324" t="s">
        <v>4048</v>
      </c>
      <c r="D2091" s="324"/>
      <c r="E2091" s="107">
        <f>E2090+1</f>
        <v>1901</v>
      </c>
      <c r="F2091" s="233"/>
      <c r="G2091" s="233" t="s">
        <v>33</v>
      </c>
      <c r="H2091" s="412" t="s">
        <v>64</v>
      </c>
      <c r="I2091" s="208"/>
      <c r="J2091" s="202"/>
      <c r="K2091" s="388"/>
    </row>
    <row r="2092" spans="1:11" ht="15" customHeight="1" x14ac:dyDescent="0.25">
      <c r="A2092" s="584">
        <v>39</v>
      </c>
      <c r="B2092" s="566"/>
      <c r="C2092" s="322" t="s">
        <v>4049</v>
      </c>
      <c r="D2092" s="322"/>
      <c r="E2092" s="133"/>
      <c r="F2092" s="233"/>
      <c r="G2092" s="233"/>
      <c r="H2092" s="233"/>
      <c r="I2092" s="208"/>
      <c r="J2092" s="202"/>
      <c r="K2092" s="388"/>
    </row>
    <row r="2093" spans="1:11" ht="30" customHeight="1" x14ac:dyDescent="0.25">
      <c r="A2093" s="283"/>
      <c r="B2093" s="283" t="s">
        <v>3564</v>
      </c>
      <c r="C2093" s="284" t="s">
        <v>4050</v>
      </c>
      <c r="D2093" s="284"/>
      <c r="E2093" s="107">
        <f>E2091+1</f>
        <v>1902</v>
      </c>
      <c r="F2093" s="283"/>
      <c r="G2093" s="283" t="s">
        <v>45</v>
      </c>
      <c r="H2093" s="283">
        <f>H1479</f>
        <v>0</v>
      </c>
      <c r="I2093" s="218"/>
      <c r="J2093" s="199" t="s">
        <v>4051</v>
      </c>
      <c r="K2093" s="388"/>
    </row>
    <row r="2094" spans="1:11" ht="30" customHeight="1" x14ac:dyDescent="0.25">
      <c r="A2094" s="283"/>
      <c r="B2094" s="283" t="s">
        <v>3567</v>
      </c>
      <c r="C2094" s="284" t="s">
        <v>4052</v>
      </c>
      <c r="D2094" s="284"/>
      <c r="E2094" s="107">
        <f>E2093+1</f>
        <v>1903</v>
      </c>
      <c r="F2094" s="283"/>
      <c r="G2094" s="283" t="s">
        <v>45</v>
      </c>
      <c r="H2094" s="283">
        <f>H1480</f>
        <v>0</v>
      </c>
      <c r="I2094" s="218"/>
      <c r="J2094" s="199" t="s">
        <v>4053</v>
      </c>
      <c r="K2094" s="388"/>
    </row>
    <row r="2095" spans="1:11" ht="30" customHeight="1" x14ac:dyDescent="0.25">
      <c r="A2095" s="283"/>
      <c r="B2095" s="283" t="s">
        <v>3570</v>
      </c>
      <c r="C2095" s="284" t="s">
        <v>4054</v>
      </c>
      <c r="D2095" s="284"/>
      <c r="E2095" s="107">
        <f>E2094+1</f>
        <v>1904</v>
      </c>
      <c r="F2095" s="283"/>
      <c r="G2095" s="283" t="s">
        <v>45</v>
      </c>
      <c r="H2095" s="283">
        <f>H1481</f>
        <v>0</v>
      </c>
      <c r="I2095" s="218"/>
      <c r="J2095" s="199" t="s">
        <v>4055</v>
      </c>
      <c r="K2095" s="388"/>
    </row>
    <row r="2096" spans="1:11" ht="15" customHeight="1" x14ac:dyDescent="0.25">
      <c r="A2096" s="283"/>
      <c r="B2096" s="283" t="s">
        <v>3572</v>
      </c>
      <c r="C2096" s="284" t="s">
        <v>4056</v>
      </c>
      <c r="D2096" s="284"/>
      <c r="E2096" s="107">
        <f>E2095+1</f>
        <v>1905</v>
      </c>
      <c r="F2096" s="283"/>
      <c r="G2096" s="283" t="s">
        <v>33</v>
      </c>
      <c r="H2096" s="283">
        <f>SUM(H2093:H2095)</f>
        <v>0</v>
      </c>
      <c r="I2096" s="219"/>
      <c r="J2096" s="202"/>
      <c r="K2096" s="388"/>
    </row>
    <row r="2097" spans="1:11" ht="15" customHeight="1" x14ac:dyDescent="0.25">
      <c r="A2097" s="283"/>
      <c r="B2097" s="283" t="s">
        <v>3576</v>
      </c>
      <c r="C2097" s="284" t="s">
        <v>4057</v>
      </c>
      <c r="D2097" s="283" t="s">
        <v>3595</v>
      </c>
      <c r="E2097" s="107">
        <f>E2096+1</f>
        <v>1906</v>
      </c>
      <c r="F2097" s="433"/>
      <c r="G2097" s="326">
        <f>H2096/3</f>
        <v>0</v>
      </c>
      <c r="H2097" s="283">
        <f>IF(G2097=0,5,IF(G2097&lt;0.5,4,IF(G2097=1,1,2)))</f>
        <v>5</v>
      </c>
      <c r="I2097" s="206"/>
      <c r="J2097" s="202"/>
      <c r="K2097" s="388"/>
    </row>
    <row r="2098" spans="1:11" ht="15" customHeight="1" x14ac:dyDescent="0.25">
      <c r="A2098" s="584" t="s">
        <v>4058</v>
      </c>
      <c r="B2098" s="566"/>
      <c r="C2098" s="321" t="s">
        <v>4059</v>
      </c>
      <c r="D2098" s="321"/>
      <c r="E2098" s="133"/>
      <c r="F2098" s="406"/>
      <c r="G2098" s="406"/>
      <c r="H2098" s="406"/>
      <c r="I2098" s="218"/>
      <c r="J2098" s="202"/>
      <c r="K2098" s="388"/>
    </row>
    <row r="2099" spans="1:11" ht="15" customHeight="1" x14ac:dyDescent="0.25">
      <c r="A2099" s="584">
        <v>40</v>
      </c>
      <c r="B2099" s="566"/>
      <c r="C2099" s="322" t="s">
        <v>4060</v>
      </c>
      <c r="D2099" s="322"/>
      <c r="E2099" s="133"/>
      <c r="F2099" s="406"/>
      <c r="G2099" s="406"/>
      <c r="H2099" s="406"/>
      <c r="I2099" s="219"/>
      <c r="J2099" s="202"/>
      <c r="K2099" s="388"/>
    </row>
    <row r="2100" spans="1:11" ht="30" customHeight="1" x14ac:dyDescent="0.25">
      <c r="A2100" s="323"/>
      <c r="B2100" s="323" t="s">
        <v>3564</v>
      </c>
      <c r="C2100" s="325" t="s">
        <v>4061</v>
      </c>
      <c r="D2100" s="325"/>
      <c r="E2100" s="133"/>
      <c r="F2100" s="406"/>
      <c r="G2100" s="406"/>
      <c r="H2100" s="406"/>
      <c r="I2100" s="208"/>
      <c r="J2100" s="202"/>
      <c r="K2100" s="388"/>
    </row>
    <row r="2101" spans="1:11" ht="30" customHeight="1" x14ac:dyDescent="0.25">
      <c r="A2101" s="283"/>
      <c r="B2101" s="327"/>
      <c r="C2101" s="328" t="s">
        <v>4062</v>
      </c>
      <c r="D2101" s="328"/>
      <c r="E2101" s="107">
        <f>E2097+1</f>
        <v>1907</v>
      </c>
      <c r="F2101" s="283"/>
      <c r="G2101" s="283" t="s">
        <v>45</v>
      </c>
      <c r="H2101" s="283" t="str">
        <f t="shared" ref="H2101:H2109" si="169">IF(H1487&gt;0,"Ada","Tidak Ada")</f>
        <v>Tidak Ada</v>
      </c>
      <c r="I2101" s="207"/>
      <c r="J2101" s="199" t="s">
        <v>4063</v>
      </c>
      <c r="K2101" s="388"/>
    </row>
    <row r="2102" spans="1:11" ht="15" customHeight="1" x14ac:dyDescent="0.25">
      <c r="A2102" s="283"/>
      <c r="B2102" s="327"/>
      <c r="C2102" s="328" t="s">
        <v>4064</v>
      </c>
      <c r="D2102" s="328"/>
      <c r="E2102" s="107">
        <f t="shared" ref="E2102:E2118" si="170">E2101+1</f>
        <v>1908</v>
      </c>
      <c r="F2102" s="283"/>
      <c r="G2102" s="283" t="s">
        <v>45</v>
      </c>
      <c r="H2102" s="283" t="str">
        <f t="shared" si="169"/>
        <v>Tidak Ada</v>
      </c>
      <c r="I2102" s="207"/>
      <c r="J2102" s="199" t="s">
        <v>4065</v>
      </c>
      <c r="K2102" s="388"/>
    </row>
    <row r="2103" spans="1:11" ht="30" customHeight="1" x14ac:dyDescent="0.25">
      <c r="A2103" s="283"/>
      <c r="B2103" s="327"/>
      <c r="C2103" s="328" t="s">
        <v>4066</v>
      </c>
      <c r="D2103" s="328"/>
      <c r="E2103" s="107">
        <f t="shared" si="170"/>
        <v>1909</v>
      </c>
      <c r="F2103" s="283"/>
      <c r="G2103" s="283" t="s">
        <v>45</v>
      </c>
      <c r="H2103" s="283" t="str">
        <f t="shared" si="169"/>
        <v>Tidak Ada</v>
      </c>
      <c r="I2103" s="207"/>
      <c r="J2103" s="199" t="s">
        <v>4067</v>
      </c>
      <c r="K2103" s="388"/>
    </row>
    <row r="2104" spans="1:11" ht="15" customHeight="1" x14ac:dyDescent="0.25">
      <c r="A2104" s="283"/>
      <c r="B2104" s="327"/>
      <c r="C2104" s="328" t="s">
        <v>4068</v>
      </c>
      <c r="D2104" s="328"/>
      <c r="E2104" s="107">
        <f t="shared" si="170"/>
        <v>1910</v>
      </c>
      <c r="F2104" s="283"/>
      <c r="G2104" s="283" t="s">
        <v>45</v>
      </c>
      <c r="H2104" s="283" t="str">
        <f t="shared" si="169"/>
        <v>Tidak Ada</v>
      </c>
      <c r="I2104" s="207"/>
      <c r="J2104" s="199" t="s">
        <v>4069</v>
      </c>
      <c r="K2104" s="388"/>
    </row>
    <row r="2105" spans="1:11" ht="30" customHeight="1" x14ac:dyDescent="0.25">
      <c r="A2105" s="283"/>
      <c r="B2105" s="327"/>
      <c r="C2105" s="328" t="s">
        <v>4070</v>
      </c>
      <c r="D2105" s="328"/>
      <c r="E2105" s="107">
        <f t="shared" si="170"/>
        <v>1911</v>
      </c>
      <c r="F2105" s="283"/>
      <c r="G2105" s="283" t="s">
        <v>45</v>
      </c>
      <c r="H2105" s="283" t="str">
        <f t="shared" si="169"/>
        <v>Tidak Ada</v>
      </c>
      <c r="I2105" s="207"/>
      <c r="J2105" s="199" t="s">
        <v>4071</v>
      </c>
      <c r="K2105" s="388"/>
    </row>
    <row r="2106" spans="1:11" ht="30" customHeight="1" x14ac:dyDescent="0.25">
      <c r="A2106" s="283"/>
      <c r="B2106" s="327"/>
      <c r="C2106" s="328" t="s">
        <v>4072</v>
      </c>
      <c r="D2106" s="328"/>
      <c r="E2106" s="107">
        <f t="shared" si="170"/>
        <v>1912</v>
      </c>
      <c r="F2106" s="283"/>
      <c r="G2106" s="283" t="s">
        <v>45</v>
      </c>
      <c r="H2106" s="283" t="str">
        <f t="shared" si="169"/>
        <v>Tidak Ada</v>
      </c>
      <c r="I2106" s="207"/>
      <c r="J2106" s="199" t="s">
        <v>4073</v>
      </c>
      <c r="K2106" s="388"/>
    </row>
    <row r="2107" spans="1:11" ht="30" customHeight="1" x14ac:dyDescent="0.25">
      <c r="A2107" s="283"/>
      <c r="B2107" s="327"/>
      <c r="C2107" s="328" t="s">
        <v>4074</v>
      </c>
      <c r="D2107" s="328"/>
      <c r="E2107" s="107">
        <f t="shared" si="170"/>
        <v>1913</v>
      </c>
      <c r="F2107" s="283"/>
      <c r="G2107" s="283" t="s">
        <v>45</v>
      </c>
      <c r="H2107" s="283" t="str">
        <f t="shared" si="169"/>
        <v>Tidak Ada</v>
      </c>
      <c r="I2107" s="207"/>
      <c r="J2107" s="199" t="s">
        <v>4075</v>
      </c>
      <c r="K2107" s="388"/>
    </row>
    <row r="2108" spans="1:11" ht="30" customHeight="1" x14ac:dyDescent="0.25">
      <c r="A2108" s="283"/>
      <c r="B2108" s="327"/>
      <c r="C2108" s="328" t="s">
        <v>4076</v>
      </c>
      <c r="D2108" s="328"/>
      <c r="E2108" s="107">
        <f t="shared" si="170"/>
        <v>1914</v>
      </c>
      <c r="F2108" s="283"/>
      <c r="G2108" s="283" t="s">
        <v>45</v>
      </c>
      <c r="H2108" s="283" t="str">
        <f t="shared" si="169"/>
        <v>Tidak Ada</v>
      </c>
      <c r="I2108" s="207"/>
      <c r="J2108" s="199" t="s">
        <v>4077</v>
      </c>
      <c r="K2108" s="388"/>
    </row>
    <row r="2109" spans="1:11" ht="30" customHeight="1" x14ac:dyDescent="0.25">
      <c r="A2109" s="283"/>
      <c r="B2109" s="327"/>
      <c r="C2109" s="328" t="s">
        <v>4078</v>
      </c>
      <c r="D2109" s="328"/>
      <c r="E2109" s="107">
        <f t="shared" si="170"/>
        <v>1915</v>
      </c>
      <c r="F2109" s="283"/>
      <c r="G2109" s="283" t="s">
        <v>45</v>
      </c>
      <c r="H2109" s="283" t="str">
        <f t="shared" si="169"/>
        <v>Tidak Ada</v>
      </c>
      <c r="I2109" s="207"/>
      <c r="J2109" s="199" t="s">
        <v>4079</v>
      </c>
      <c r="K2109" s="388"/>
    </row>
    <row r="2110" spans="1:11" ht="30" customHeight="1" x14ac:dyDescent="0.25">
      <c r="A2110" s="323"/>
      <c r="B2110" s="394"/>
      <c r="C2110" s="324" t="s">
        <v>4080</v>
      </c>
      <c r="D2110" s="324"/>
      <c r="E2110" s="107">
        <f t="shared" si="170"/>
        <v>1916</v>
      </c>
      <c r="F2110" s="233"/>
      <c r="G2110" s="233" t="s">
        <v>45</v>
      </c>
      <c r="H2110" s="412" t="s">
        <v>64</v>
      </c>
      <c r="I2110" s="207"/>
      <c r="J2110" s="70"/>
      <c r="K2110" s="388"/>
    </row>
    <row r="2111" spans="1:11" ht="15" customHeight="1" x14ac:dyDescent="0.25">
      <c r="A2111" s="323"/>
      <c r="B2111" s="323" t="s">
        <v>3567</v>
      </c>
      <c r="C2111" s="324" t="s">
        <v>4081</v>
      </c>
      <c r="D2111" s="324"/>
      <c r="E2111" s="107">
        <f t="shared" si="170"/>
        <v>1917</v>
      </c>
      <c r="F2111" s="233"/>
      <c r="G2111" s="233" t="s">
        <v>45</v>
      </c>
      <c r="H2111" s="412">
        <v>1</v>
      </c>
      <c r="I2111" s="206"/>
      <c r="J2111" s="202"/>
      <c r="K2111" s="388"/>
    </row>
    <row r="2112" spans="1:11" ht="15" customHeight="1" x14ac:dyDescent="0.25">
      <c r="A2112" s="283"/>
      <c r="B2112" s="283" t="s">
        <v>3570</v>
      </c>
      <c r="C2112" s="284" t="s">
        <v>4082</v>
      </c>
      <c r="D2112" s="284"/>
      <c r="E2112" s="107">
        <f t="shared" si="170"/>
        <v>1918</v>
      </c>
      <c r="F2112" s="283"/>
      <c r="G2112" s="283" t="s">
        <v>45</v>
      </c>
      <c r="H2112" s="283">
        <f>IF(SUM(H1499:H1501)&gt;0,5,1)</f>
        <v>5</v>
      </c>
      <c r="I2112" s="206"/>
      <c r="J2112" s="199" t="s">
        <v>4083</v>
      </c>
      <c r="K2112" s="388"/>
    </row>
    <row r="2113" spans="1:11" ht="15" customHeight="1" x14ac:dyDescent="0.25">
      <c r="A2113" s="329"/>
      <c r="B2113" s="330" t="s">
        <v>3572</v>
      </c>
      <c r="C2113" s="331" t="s">
        <v>4084</v>
      </c>
      <c r="D2113" s="331"/>
      <c r="E2113" s="107">
        <f t="shared" si="170"/>
        <v>1919</v>
      </c>
      <c r="F2113" s="392"/>
      <c r="G2113" s="408" t="s">
        <v>1155</v>
      </c>
      <c r="H2113" s="412">
        <v>0</v>
      </c>
      <c r="I2113"/>
      <c r="J2113" s="205" t="s">
        <v>3674</v>
      </c>
      <c r="K2113" s="388"/>
    </row>
    <row r="2114" spans="1:11" ht="15" customHeight="1" x14ac:dyDescent="0.25">
      <c r="A2114" s="329"/>
      <c r="B2114" s="330" t="s">
        <v>3576</v>
      </c>
      <c r="C2114" s="331" t="s">
        <v>4085</v>
      </c>
      <c r="D2114" s="331"/>
      <c r="E2114" s="107">
        <f t="shared" si="170"/>
        <v>1920</v>
      </c>
      <c r="F2114" s="392"/>
      <c r="G2114" s="408" t="s">
        <v>1151</v>
      </c>
      <c r="H2114" s="247">
        <v>0</v>
      </c>
      <c r="I2114"/>
      <c r="J2114" s="205" t="s">
        <v>1509</v>
      </c>
      <c r="K2114" s="388"/>
    </row>
    <row r="2115" spans="1:11" ht="30" customHeight="1" x14ac:dyDescent="0.25">
      <c r="A2115" s="329"/>
      <c r="B2115" s="330" t="s">
        <v>3580</v>
      </c>
      <c r="C2115" s="331" t="s">
        <v>4086</v>
      </c>
      <c r="D2115" s="331"/>
      <c r="E2115" s="107">
        <f t="shared" si="170"/>
        <v>1921</v>
      </c>
      <c r="F2115" s="407" t="s">
        <v>47</v>
      </c>
      <c r="G2115" s="408" t="s">
        <v>45</v>
      </c>
      <c r="H2115" s="412" t="s">
        <v>64</v>
      </c>
      <c r="I2115" s="203"/>
      <c r="J2115" s="212"/>
      <c r="K2115" s="388"/>
    </row>
    <row r="2116" spans="1:11" ht="15" customHeight="1" x14ac:dyDescent="0.25">
      <c r="A2116" s="283"/>
      <c r="B2116" s="283" t="s">
        <v>3582</v>
      </c>
      <c r="C2116" s="284" t="s">
        <v>4087</v>
      </c>
      <c r="D2116" s="283" t="s">
        <v>3595</v>
      </c>
      <c r="E2116" s="107">
        <f t="shared" si="170"/>
        <v>1922</v>
      </c>
      <c r="F2116" s="433"/>
      <c r="G2116" s="283" t="s">
        <v>45</v>
      </c>
      <c r="H2116" s="285">
        <f>IF(AND(H2114&lt;=3000,H2113&gt;5,H2113&lt;=30,H2115="Tidak Ada"),4,IF(AND(H2114&lt;=3000,H2113&gt;30,H2115="Tidak Ada"),3,
IF(AND(H2114&gt;3000,H2114&lt;=6000,H2113&lt;=5,OR(H2115="Ada",H2115="Tidak Ada")),4,IF(AND(H2114&gt;3000,H2114&lt;=6000,H2113&gt;5,H2113&lt;=30,H2115="Ada"),3,IF(AND(H2114&gt;3000,H2114&lt;=6000,H2113&gt;5,H2113&lt;=30,H2115="Tidak Ada"),2,IF(AND(H2114&gt;3000,H2114&lt;=6000,H2113&gt;30,H2115="Ada"),3,IF(AND(H2114&gt;3000,H2114&lt;=6000,H2113&gt;30,H2115="Tidak Ada"),2,
IF(AND(H2114&gt;6000,H2113&lt;=5,H2115="Ada"),4,IF(AND(H2114&gt;6000,H2113&lt;=5,H2115="Tidak Ada"),2,IF(AND(H2114&gt;6000,H2113&gt;5,H2113&lt;=30,H2115="Ada"),2,IF(AND(H2114&gt;6000,H2113&gt;5,H2113&lt;=30,H2115="Tidak Ada"),1,IF(AND(H2114&gt;6000,H2113&gt;30,OR(H2115="Ada",H2115="Tidak Ada")),1,5))))))))))))</f>
        <v>5</v>
      </c>
      <c r="I2116" s="203"/>
      <c r="J2116" s="212"/>
      <c r="K2116" s="388"/>
    </row>
    <row r="2117" spans="1:11" ht="30" customHeight="1" x14ac:dyDescent="0.25">
      <c r="A2117" s="323"/>
      <c r="B2117" s="323" t="s">
        <v>3584</v>
      </c>
      <c r="C2117" s="324" t="s">
        <v>4088</v>
      </c>
      <c r="D2117" s="324"/>
      <c r="E2117" s="107">
        <f t="shared" si="170"/>
        <v>1923</v>
      </c>
      <c r="F2117" s="233"/>
      <c r="G2117" s="233" t="s">
        <v>45</v>
      </c>
      <c r="H2117" s="412">
        <v>3</v>
      </c>
      <c r="I2117" s="208"/>
      <c r="J2117" s="202"/>
      <c r="K2117" s="388"/>
    </row>
    <row r="2118" spans="1:11" ht="15" customHeight="1" x14ac:dyDescent="0.25">
      <c r="A2118" s="323"/>
      <c r="B2118" s="323" t="s">
        <v>3586</v>
      </c>
      <c r="C2118" s="324" t="s">
        <v>4089</v>
      </c>
      <c r="D2118" s="324"/>
      <c r="E2118" s="107">
        <f t="shared" si="170"/>
        <v>1924</v>
      </c>
      <c r="F2118" s="233"/>
      <c r="G2118" s="233" t="s">
        <v>45</v>
      </c>
      <c r="H2118" s="412">
        <v>5</v>
      </c>
      <c r="I2118" s="206"/>
      <c r="J2118" s="202"/>
      <c r="K2118" s="388"/>
    </row>
    <row r="2119" spans="1:11" ht="15" customHeight="1" x14ac:dyDescent="0.25">
      <c r="A2119" s="585">
        <v>5</v>
      </c>
      <c r="B2119" s="566"/>
      <c r="C2119" s="332" t="s">
        <v>4090</v>
      </c>
      <c r="D2119" s="332"/>
      <c r="E2119" s="133"/>
      <c r="F2119" s="406"/>
      <c r="G2119" s="406"/>
      <c r="H2119" s="406"/>
      <c r="I2119" s="207"/>
      <c r="J2119" s="202"/>
      <c r="K2119" s="388"/>
    </row>
    <row r="2120" spans="1:11" ht="15" customHeight="1" x14ac:dyDescent="0.25">
      <c r="A2120" s="585" t="s">
        <v>4091</v>
      </c>
      <c r="B2120" s="566"/>
      <c r="C2120" s="332" t="s">
        <v>4092</v>
      </c>
      <c r="D2120" s="332"/>
      <c r="E2120" s="133"/>
      <c r="F2120" s="406"/>
      <c r="G2120" s="406"/>
      <c r="H2120" s="406"/>
      <c r="I2120" s="207"/>
      <c r="J2120" s="202"/>
      <c r="K2120" s="388"/>
    </row>
    <row r="2121" spans="1:11" ht="15" customHeight="1" x14ac:dyDescent="0.25">
      <c r="A2121" s="585">
        <v>41</v>
      </c>
      <c r="B2121" s="566"/>
      <c r="C2121" s="333" t="s">
        <v>4093</v>
      </c>
      <c r="D2121" s="333"/>
      <c r="E2121" s="133"/>
      <c r="F2121" s="406"/>
      <c r="G2121" s="406"/>
      <c r="H2121" s="406"/>
      <c r="I2121" s="207"/>
      <c r="J2121" s="202"/>
      <c r="K2121" s="388"/>
    </row>
    <row r="2122" spans="1:11" ht="15" customHeight="1" x14ac:dyDescent="0.25">
      <c r="A2122" s="334"/>
      <c r="B2122" s="334" t="s">
        <v>3564</v>
      </c>
      <c r="C2122" s="335" t="s">
        <v>4094</v>
      </c>
      <c r="D2122" s="335"/>
      <c r="E2122" s="107">
        <f>E2118+1</f>
        <v>1925</v>
      </c>
      <c r="F2122" s="334"/>
      <c r="G2122" s="334" t="s">
        <v>45</v>
      </c>
      <c r="H2122" s="334">
        <f>IF(H1470=1,5,IF(H1470=2,4,IF(H1470=3,3,IF(H1470=4,2,1))))</f>
        <v>5</v>
      </c>
      <c r="I2122" s="206"/>
      <c r="J2122" s="199" t="s">
        <v>4095</v>
      </c>
      <c r="K2122" s="388"/>
    </row>
    <row r="2123" spans="1:11" ht="15" customHeight="1" x14ac:dyDescent="0.25">
      <c r="A2123" s="336"/>
      <c r="B2123" s="336" t="s">
        <v>3567</v>
      </c>
      <c r="C2123" s="337" t="s">
        <v>4096</v>
      </c>
      <c r="D2123" s="337"/>
      <c r="E2123" s="133"/>
      <c r="F2123" s="233"/>
      <c r="G2123" s="233"/>
      <c r="H2123" s="233"/>
      <c r="I2123" s="206"/>
      <c r="J2123" s="416">
        <v>1</v>
      </c>
      <c r="K2123" s="388"/>
    </row>
    <row r="2124" spans="1:11" ht="15" customHeight="1" x14ac:dyDescent="0.25">
      <c r="A2124" s="336"/>
      <c r="B2124" s="336"/>
      <c r="C2124" s="337" t="s">
        <v>4097</v>
      </c>
      <c r="D2124" s="337"/>
      <c r="E2124" s="107">
        <f>E2122+1</f>
        <v>1926</v>
      </c>
      <c r="F2124" s="233"/>
      <c r="G2124" s="233" t="s">
        <v>45</v>
      </c>
      <c r="H2124" s="412" t="s">
        <v>148</v>
      </c>
      <c r="I2124" s="206" t="s">
        <v>4098</v>
      </c>
      <c r="J2124" s="416">
        <v>2</v>
      </c>
      <c r="K2124" s="388"/>
    </row>
    <row r="2125" spans="1:11" ht="15" customHeight="1" x14ac:dyDescent="0.25">
      <c r="A2125" s="336"/>
      <c r="B2125" s="336"/>
      <c r="C2125" s="337" t="s">
        <v>4099</v>
      </c>
      <c r="D2125" s="337"/>
      <c r="E2125" s="107">
        <f>E2124+1</f>
        <v>1927</v>
      </c>
      <c r="F2125" s="233"/>
      <c r="G2125" s="233" t="s">
        <v>45</v>
      </c>
      <c r="H2125" s="412" t="s">
        <v>148</v>
      </c>
      <c r="I2125" s="206" t="s">
        <v>4098</v>
      </c>
      <c r="J2125" s="416">
        <v>3</v>
      </c>
      <c r="K2125" s="388"/>
    </row>
    <row r="2126" spans="1:11" ht="15" customHeight="1" x14ac:dyDescent="0.25">
      <c r="A2126" s="336"/>
      <c r="B2126" s="336"/>
      <c r="C2126" s="337" t="s">
        <v>4100</v>
      </c>
      <c r="D2126" s="337"/>
      <c r="E2126" s="107">
        <f>E2125+1</f>
        <v>1928</v>
      </c>
      <c r="F2126" s="233"/>
      <c r="G2126" s="233" t="s">
        <v>45</v>
      </c>
      <c r="H2126" s="412" t="s">
        <v>148</v>
      </c>
      <c r="I2126" s="206" t="s">
        <v>4098</v>
      </c>
      <c r="J2126" s="416">
        <v>4</v>
      </c>
      <c r="K2126" s="388"/>
    </row>
    <row r="2127" spans="1:11" ht="15" customHeight="1" x14ac:dyDescent="0.25">
      <c r="A2127" s="336"/>
      <c r="B2127" s="336"/>
      <c r="C2127" s="337" t="s">
        <v>4101</v>
      </c>
      <c r="D2127" s="337"/>
      <c r="E2127" s="107">
        <f>E2126+1</f>
        <v>1929</v>
      </c>
      <c r="F2127" s="233"/>
      <c r="G2127" s="233" t="s">
        <v>45</v>
      </c>
      <c r="H2127" s="412" t="s">
        <v>148</v>
      </c>
      <c r="I2127" s="206" t="s">
        <v>4098</v>
      </c>
      <c r="J2127" s="416">
        <v>5</v>
      </c>
      <c r="K2127" s="388"/>
    </row>
    <row r="2128" spans="1:11" ht="15" customHeight="1" x14ac:dyDescent="0.25">
      <c r="A2128" s="336"/>
      <c r="B2128" s="336" t="s">
        <v>3570</v>
      </c>
      <c r="C2128" s="337" t="s">
        <v>4102</v>
      </c>
      <c r="D2128" s="337"/>
      <c r="E2128" s="107">
        <f>E2127+1</f>
        <v>1930</v>
      </c>
      <c r="F2128" s="233"/>
      <c r="G2128" s="233" t="s">
        <v>45</v>
      </c>
      <c r="H2128" s="412">
        <v>5</v>
      </c>
      <c r="I2128" s="206"/>
      <c r="J2128" s="212" t="s">
        <v>4103</v>
      </c>
      <c r="K2128" s="388" t="s">
        <v>4104</v>
      </c>
    </row>
    <row r="2129" spans="1:11" ht="15" customHeight="1" x14ac:dyDescent="0.25">
      <c r="A2129" s="585">
        <v>42</v>
      </c>
      <c r="B2129" s="566"/>
      <c r="C2129" s="333" t="s">
        <v>4105</v>
      </c>
      <c r="D2129" s="333"/>
      <c r="E2129" s="133"/>
      <c r="F2129" s="233"/>
      <c r="G2129" s="233"/>
      <c r="H2129" s="233"/>
      <c r="I2129" s="205"/>
      <c r="J2129" s="202"/>
      <c r="K2129" s="388"/>
    </row>
    <row r="2130" spans="1:11" ht="15" customHeight="1" x14ac:dyDescent="0.25">
      <c r="A2130" s="334"/>
      <c r="B2130" s="334" t="s">
        <v>3564</v>
      </c>
      <c r="C2130" s="335" t="s">
        <v>4106</v>
      </c>
      <c r="D2130" s="335"/>
      <c r="E2130" s="107">
        <f>E2128+1</f>
        <v>1931</v>
      </c>
      <c r="F2130" s="334"/>
      <c r="G2130" s="334" t="s">
        <v>45</v>
      </c>
      <c r="H2130" s="334">
        <f>IF(H926=1,5,1)</f>
        <v>5</v>
      </c>
      <c r="I2130" s="206"/>
      <c r="J2130" s="199" t="s">
        <v>4107</v>
      </c>
      <c r="K2130" s="388"/>
    </row>
    <row r="2131" spans="1:11" ht="30" customHeight="1" x14ac:dyDescent="0.25">
      <c r="A2131" s="336"/>
      <c r="B2131" s="336" t="s">
        <v>3567</v>
      </c>
      <c r="C2131" s="337" t="s">
        <v>4108</v>
      </c>
      <c r="D2131" s="337"/>
      <c r="E2131" s="107">
        <f>E2130+1</f>
        <v>1932</v>
      </c>
      <c r="F2131" s="233"/>
      <c r="G2131" s="233" t="s">
        <v>45</v>
      </c>
      <c r="H2131" s="412">
        <v>5</v>
      </c>
      <c r="I2131" s="206"/>
      <c r="J2131" s="416">
        <v>1</v>
      </c>
      <c r="K2131" s="388"/>
    </row>
    <row r="2132" spans="1:11" ht="15" customHeight="1" x14ac:dyDescent="0.25">
      <c r="A2132" s="585" t="s">
        <v>4109</v>
      </c>
      <c r="B2132" s="566"/>
      <c r="C2132" s="332" t="s">
        <v>4110</v>
      </c>
      <c r="D2132" s="332"/>
      <c r="E2132" s="133"/>
      <c r="F2132" s="406"/>
      <c r="G2132" s="406"/>
      <c r="H2132" s="406"/>
      <c r="I2132" s="205"/>
      <c r="J2132" s="416">
        <v>2</v>
      </c>
      <c r="K2132" s="388"/>
    </row>
    <row r="2133" spans="1:11" ht="30" customHeight="1" x14ac:dyDescent="0.25">
      <c r="A2133" s="585">
        <v>43</v>
      </c>
      <c r="B2133" s="566"/>
      <c r="C2133" s="333" t="s">
        <v>4111</v>
      </c>
      <c r="D2133" s="333"/>
      <c r="E2133" s="133"/>
      <c r="F2133" s="406"/>
      <c r="G2133" s="406"/>
      <c r="H2133" s="406"/>
      <c r="I2133" s="206"/>
      <c r="J2133" s="416">
        <v>4</v>
      </c>
      <c r="K2133" s="388"/>
    </row>
    <row r="2134" spans="1:11" ht="60" customHeight="1" x14ac:dyDescent="0.25">
      <c r="A2134" s="334"/>
      <c r="B2134" s="334" t="s">
        <v>3564</v>
      </c>
      <c r="C2134" s="338" t="s">
        <v>4112</v>
      </c>
      <c r="D2134" s="338"/>
      <c r="E2134" s="107">
        <f>E2131+1</f>
        <v>1933</v>
      </c>
      <c r="F2134" s="339"/>
      <c r="G2134" s="334" t="s">
        <v>45</v>
      </c>
      <c r="H2134" s="334">
        <f>IF(H1463=3,1,5)</f>
        <v>5</v>
      </c>
      <c r="I2134" s="206"/>
      <c r="J2134" s="212" t="s">
        <v>4113</v>
      </c>
      <c r="K2134" s="388"/>
    </row>
    <row r="2135" spans="1:11" ht="30" customHeight="1" x14ac:dyDescent="0.25">
      <c r="A2135" s="336"/>
      <c r="B2135" s="336" t="s">
        <v>3567</v>
      </c>
      <c r="C2135" s="337" t="s">
        <v>4114</v>
      </c>
      <c r="D2135" s="337"/>
      <c r="E2135" s="107">
        <f>E2134+1</f>
        <v>1934</v>
      </c>
      <c r="F2135" s="233"/>
      <c r="G2135" s="233" t="s">
        <v>45</v>
      </c>
      <c r="H2135" s="412">
        <v>5</v>
      </c>
      <c r="I2135" s="206"/>
      <c r="J2135" s="202"/>
      <c r="K2135" s="388"/>
    </row>
    <row r="2136" spans="1:11" ht="30" customHeight="1" x14ac:dyDescent="0.25">
      <c r="A2136" s="336"/>
      <c r="B2136" s="336" t="s">
        <v>3570</v>
      </c>
      <c r="C2136" s="337" t="s">
        <v>4115</v>
      </c>
      <c r="D2136" s="337"/>
      <c r="E2136" s="133"/>
      <c r="F2136" s="233"/>
      <c r="G2136" s="233"/>
      <c r="H2136" s="233"/>
      <c r="I2136" s="206"/>
      <c r="J2136" s="202"/>
      <c r="K2136" s="388"/>
    </row>
    <row r="2137" spans="1:11" ht="15" customHeight="1" x14ac:dyDescent="0.25">
      <c r="A2137" s="336"/>
      <c r="B2137" s="336"/>
      <c r="C2137" s="337" t="s">
        <v>4116</v>
      </c>
      <c r="D2137" s="337"/>
      <c r="E2137" s="107">
        <f>E2135+1</f>
        <v>1935</v>
      </c>
      <c r="F2137" s="233"/>
      <c r="G2137" s="233" t="s">
        <v>45</v>
      </c>
      <c r="H2137" s="412" t="s">
        <v>148</v>
      </c>
      <c r="I2137" s="207"/>
      <c r="J2137" s="202"/>
      <c r="K2137" s="388"/>
    </row>
    <row r="2138" spans="1:11" ht="15" customHeight="1" x14ac:dyDescent="0.25">
      <c r="A2138" s="336"/>
      <c r="B2138" s="336"/>
      <c r="C2138" s="337" t="s">
        <v>4117</v>
      </c>
      <c r="D2138" s="337"/>
      <c r="E2138" s="107">
        <f t="shared" ref="E2138:E2144" si="171">E2137+1</f>
        <v>1936</v>
      </c>
      <c r="F2138" s="233"/>
      <c r="G2138" s="233" t="s">
        <v>45</v>
      </c>
      <c r="H2138" s="412" t="s">
        <v>64</v>
      </c>
      <c r="I2138" s="207"/>
      <c r="J2138" s="202"/>
      <c r="K2138" s="388"/>
    </row>
    <row r="2139" spans="1:11" ht="15" customHeight="1" x14ac:dyDescent="0.25">
      <c r="A2139" s="336"/>
      <c r="B2139" s="336"/>
      <c r="C2139" s="337" t="s">
        <v>4118</v>
      </c>
      <c r="D2139" s="337"/>
      <c r="E2139" s="107">
        <f t="shared" si="171"/>
        <v>1937</v>
      </c>
      <c r="F2139" s="233"/>
      <c r="G2139" s="233" t="s">
        <v>45</v>
      </c>
      <c r="H2139" s="412" t="s">
        <v>64</v>
      </c>
      <c r="I2139" s="207"/>
      <c r="J2139" s="202"/>
      <c r="K2139" s="388"/>
    </row>
    <row r="2140" spans="1:11" ht="15" customHeight="1" x14ac:dyDescent="0.25">
      <c r="A2140" s="336"/>
      <c r="B2140" s="336"/>
      <c r="C2140" s="337" t="s">
        <v>4119</v>
      </c>
      <c r="D2140" s="337"/>
      <c r="E2140" s="107">
        <f t="shared" si="171"/>
        <v>1938</v>
      </c>
      <c r="F2140" s="233"/>
      <c r="G2140" s="233" t="s">
        <v>45</v>
      </c>
      <c r="H2140" s="412" t="s">
        <v>64</v>
      </c>
      <c r="I2140" s="207"/>
      <c r="J2140" s="202"/>
      <c r="K2140" s="388"/>
    </row>
    <row r="2141" spans="1:11" ht="15" customHeight="1" x14ac:dyDescent="0.25">
      <c r="A2141" s="336"/>
      <c r="B2141" s="336"/>
      <c r="C2141" s="337" t="s">
        <v>4120</v>
      </c>
      <c r="D2141" s="337"/>
      <c r="E2141" s="107">
        <f t="shared" si="171"/>
        <v>1939</v>
      </c>
      <c r="F2141" s="233"/>
      <c r="G2141" s="233" t="s">
        <v>45</v>
      </c>
      <c r="H2141" s="412" t="s">
        <v>64</v>
      </c>
      <c r="I2141" s="207"/>
      <c r="J2141" s="202"/>
      <c r="K2141" s="388"/>
    </row>
    <row r="2142" spans="1:11" ht="15" customHeight="1" x14ac:dyDescent="0.25">
      <c r="A2142" s="336"/>
      <c r="B2142" s="336"/>
      <c r="C2142" s="337" t="s">
        <v>4121</v>
      </c>
      <c r="D2142" s="337"/>
      <c r="E2142" s="107">
        <f t="shared" si="171"/>
        <v>1940</v>
      </c>
      <c r="F2142" s="233"/>
      <c r="G2142" s="233" t="s">
        <v>45</v>
      </c>
      <c r="H2142" s="412" t="s">
        <v>148</v>
      </c>
      <c r="I2142" s="207"/>
      <c r="J2142" s="202"/>
      <c r="K2142" s="388"/>
    </row>
    <row r="2143" spans="1:11" ht="15" customHeight="1" x14ac:dyDescent="0.25">
      <c r="A2143" s="336"/>
      <c r="B2143" s="336"/>
      <c r="C2143" s="337" t="s">
        <v>4122</v>
      </c>
      <c r="D2143" s="337"/>
      <c r="E2143" s="107">
        <f t="shared" si="171"/>
        <v>1941</v>
      </c>
      <c r="F2143" s="233"/>
      <c r="G2143" s="233" t="s">
        <v>45</v>
      </c>
      <c r="H2143" s="412" t="s">
        <v>148</v>
      </c>
      <c r="I2143" s="207"/>
      <c r="J2143" s="202"/>
      <c r="K2143" s="388"/>
    </row>
    <row r="2144" spans="1:11" ht="15" customHeight="1" x14ac:dyDescent="0.25">
      <c r="A2144" s="336"/>
      <c r="B2144" s="336"/>
      <c r="C2144" s="337" t="s">
        <v>4123</v>
      </c>
      <c r="D2144" s="337"/>
      <c r="E2144" s="107">
        <f t="shared" si="171"/>
        <v>1942</v>
      </c>
      <c r="F2144" s="233"/>
      <c r="G2144" s="233" t="s">
        <v>45</v>
      </c>
      <c r="H2144" s="412" t="s">
        <v>64</v>
      </c>
      <c r="I2144" s="207"/>
      <c r="J2144" s="202"/>
      <c r="K2144" s="388"/>
    </row>
    <row r="2145" spans="1:11" ht="15" customHeight="1" x14ac:dyDescent="0.25">
      <c r="A2145" s="583">
        <v>6</v>
      </c>
      <c r="B2145" s="566"/>
      <c r="C2145" s="340" t="s">
        <v>4124</v>
      </c>
      <c r="D2145" s="340"/>
      <c r="E2145" s="133"/>
      <c r="F2145" s="406"/>
      <c r="G2145" s="406"/>
      <c r="H2145" s="406"/>
      <c r="I2145" s="206"/>
      <c r="J2145" s="202"/>
      <c r="K2145" s="388"/>
    </row>
    <row r="2146" spans="1:11" ht="15" customHeight="1" x14ac:dyDescent="0.25">
      <c r="A2146" s="583"/>
      <c r="B2146" s="566"/>
      <c r="C2146" s="340" t="s">
        <v>4125</v>
      </c>
      <c r="D2146" s="340"/>
      <c r="E2146" s="133"/>
      <c r="F2146" s="406"/>
      <c r="G2146" s="406"/>
      <c r="H2146" s="406"/>
      <c r="I2146" s="205"/>
      <c r="J2146" s="202"/>
      <c r="K2146" s="388"/>
    </row>
    <row r="2147" spans="1:11" ht="15" customHeight="1" x14ac:dyDescent="0.25">
      <c r="A2147" s="583">
        <v>44</v>
      </c>
      <c r="B2147" s="566"/>
      <c r="C2147" s="341" t="s">
        <v>4126</v>
      </c>
      <c r="D2147" s="341"/>
      <c r="E2147" s="133"/>
      <c r="F2147" s="417"/>
      <c r="G2147" s="233"/>
      <c r="H2147" s="233"/>
      <c r="I2147" s="206"/>
      <c r="J2147" s="202"/>
      <c r="K2147" s="388"/>
    </row>
    <row r="2148" spans="1:11" ht="30" customHeight="1" x14ac:dyDescent="0.25">
      <c r="A2148" s="391"/>
      <c r="B2148" s="342" t="s">
        <v>3564</v>
      </c>
      <c r="C2148" s="343" t="s">
        <v>4127</v>
      </c>
      <c r="D2148" s="343"/>
      <c r="E2148" s="107">
        <f>E2144+1</f>
        <v>1943</v>
      </c>
      <c r="F2148" s="233"/>
      <c r="G2148" s="233" t="s">
        <v>45</v>
      </c>
      <c r="H2148" s="412">
        <v>3</v>
      </c>
      <c r="I2148" s="206"/>
      <c r="J2148" s="202"/>
      <c r="K2148" s="388"/>
    </row>
    <row r="2149" spans="1:11" ht="15" customHeight="1" x14ac:dyDescent="0.25">
      <c r="A2149" s="342"/>
      <c r="B2149" s="342"/>
      <c r="C2149" s="341" t="s">
        <v>4128</v>
      </c>
      <c r="D2149" s="341"/>
      <c r="E2149" s="133"/>
      <c r="F2149" s="406"/>
      <c r="G2149" s="233"/>
      <c r="H2149" s="233"/>
      <c r="I2149" s="220"/>
      <c r="J2149" s="202"/>
      <c r="K2149" s="388"/>
    </row>
    <row r="2150" spans="1:11" ht="15" customHeight="1" x14ac:dyDescent="0.25">
      <c r="A2150" s="342"/>
      <c r="B2150" s="342" t="s">
        <v>3567</v>
      </c>
      <c r="C2150" s="343" t="s">
        <v>4129</v>
      </c>
      <c r="D2150" s="343"/>
      <c r="E2150" s="107">
        <f>E2148+1</f>
        <v>1944</v>
      </c>
      <c r="F2150" s="233"/>
      <c r="G2150" s="233" t="s">
        <v>45</v>
      </c>
      <c r="H2150" s="412" t="s">
        <v>4130</v>
      </c>
      <c r="I2150" s="221"/>
      <c r="J2150" s="202"/>
      <c r="K2150" s="388"/>
    </row>
    <row r="2151" spans="1:11" ht="30" customHeight="1" x14ac:dyDescent="0.25">
      <c r="A2151" s="342"/>
      <c r="B2151" s="342" t="s">
        <v>3570</v>
      </c>
      <c r="C2151" s="343" t="s">
        <v>4131</v>
      </c>
      <c r="D2151" s="343"/>
      <c r="E2151" s="133"/>
      <c r="F2151" s="233"/>
      <c r="G2151" s="233"/>
      <c r="H2151" s="233"/>
      <c r="I2151" s="221"/>
      <c r="J2151" s="202"/>
      <c r="K2151" s="388"/>
    </row>
    <row r="2152" spans="1:11" ht="15" customHeight="1" x14ac:dyDescent="0.25">
      <c r="A2152" s="342"/>
      <c r="B2152" s="342"/>
      <c r="C2152" s="343" t="s">
        <v>4132</v>
      </c>
      <c r="D2152" s="343"/>
      <c r="E2152" s="107">
        <f>E2150+1</f>
        <v>1945</v>
      </c>
      <c r="F2152" s="233"/>
      <c r="G2152" s="233" t="s">
        <v>45</v>
      </c>
      <c r="H2152" s="412" t="s">
        <v>4133</v>
      </c>
      <c r="I2152" s="221"/>
      <c r="J2152" s="416" t="s">
        <v>4133</v>
      </c>
      <c r="K2152" s="388"/>
    </row>
    <row r="2153" spans="1:11" ht="15" customHeight="1" x14ac:dyDescent="0.25">
      <c r="A2153" s="342"/>
      <c r="B2153" s="342"/>
      <c r="C2153" s="343" t="s">
        <v>4134</v>
      </c>
      <c r="D2153" s="343"/>
      <c r="E2153" s="107">
        <f t="shared" ref="E2153:E2160" si="172">E2152+1</f>
        <v>1946</v>
      </c>
      <c r="F2153" s="233"/>
      <c r="G2153" s="233" t="s">
        <v>45</v>
      </c>
      <c r="H2153" s="412" t="s">
        <v>4133</v>
      </c>
      <c r="I2153" s="221"/>
      <c r="J2153" s="416" t="s">
        <v>4135</v>
      </c>
      <c r="K2153" s="388"/>
    </row>
    <row r="2154" spans="1:11" ht="15" customHeight="1" x14ac:dyDescent="0.25">
      <c r="A2154" s="342"/>
      <c r="B2154" s="342"/>
      <c r="C2154" s="343" t="s">
        <v>4136</v>
      </c>
      <c r="D2154" s="343"/>
      <c r="E2154" s="107">
        <f t="shared" si="172"/>
        <v>1947</v>
      </c>
      <c r="F2154" s="233"/>
      <c r="G2154" s="233" t="s">
        <v>45</v>
      </c>
      <c r="H2154" s="412" t="s">
        <v>4133</v>
      </c>
      <c r="I2154" s="221"/>
      <c r="J2154" s="202"/>
      <c r="K2154" s="388"/>
    </row>
    <row r="2155" spans="1:11" ht="15" customHeight="1" x14ac:dyDescent="0.25">
      <c r="A2155" s="342"/>
      <c r="B2155" s="342"/>
      <c r="C2155" s="343" t="s">
        <v>4137</v>
      </c>
      <c r="D2155" s="343"/>
      <c r="E2155" s="107">
        <f t="shared" si="172"/>
        <v>1948</v>
      </c>
      <c r="F2155" s="233"/>
      <c r="G2155" s="233" t="s">
        <v>45</v>
      </c>
      <c r="H2155" s="412" t="s">
        <v>4133</v>
      </c>
      <c r="I2155" s="221"/>
      <c r="J2155" s="202"/>
      <c r="K2155" s="388"/>
    </row>
    <row r="2156" spans="1:11" ht="15" customHeight="1" x14ac:dyDescent="0.25">
      <c r="A2156" s="342"/>
      <c r="B2156" s="342"/>
      <c r="C2156" s="343" t="s">
        <v>4138</v>
      </c>
      <c r="D2156" s="343"/>
      <c r="E2156" s="107">
        <f t="shared" si="172"/>
        <v>1949</v>
      </c>
      <c r="F2156" s="233"/>
      <c r="G2156" s="233" t="s">
        <v>45</v>
      </c>
      <c r="H2156" s="412" t="s">
        <v>4133</v>
      </c>
      <c r="I2156" s="221"/>
      <c r="J2156" s="202"/>
      <c r="K2156" s="388"/>
    </row>
    <row r="2157" spans="1:11" ht="15" customHeight="1" x14ac:dyDescent="0.25">
      <c r="A2157" s="342"/>
      <c r="B2157" s="342"/>
      <c r="C2157" s="343" t="s">
        <v>4139</v>
      </c>
      <c r="D2157" s="343"/>
      <c r="E2157" s="107">
        <f t="shared" si="172"/>
        <v>1950</v>
      </c>
      <c r="F2157" s="233"/>
      <c r="G2157" s="233" t="s">
        <v>45</v>
      </c>
      <c r="H2157" s="412" t="s">
        <v>4133</v>
      </c>
      <c r="I2157" s="221"/>
      <c r="J2157" s="202"/>
      <c r="K2157" s="388"/>
    </row>
    <row r="2158" spans="1:11" ht="15" customHeight="1" x14ac:dyDescent="0.25">
      <c r="A2158" s="342"/>
      <c r="B2158" s="342"/>
      <c r="C2158" s="343" t="s">
        <v>4140</v>
      </c>
      <c r="D2158" s="343"/>
      <c r="E2158" s="107">
        <f t="shared" si="172"/>
        <v>1951</v>
      </c>
      <c r="F2158" s="233"/>
      <c r="G2158" s="233" t="s">
        <v>45</v>
      </c>
      <c r="H2158" s="412" t="s">
        <v>4133</v>
      </c>
      <c r="I2158" s="221"/>
      <c r="J2158" s="202"/>
      <c r="K2158" s="388"/>
    </row>
    <row r="2159" spans="1:11" ht="15" customHeight="1" x14ac:dyDescent="0.25">
      <c r="A2159" s="342"/>
      <c r="B2159" s="342"/>
      <c r="C2159" s="343" t="s">
        <v>4141</v>
      </c>
      <c r="D2159" s="343"/>
      <c r="E2159" s="107">
        <f t="shared" si="172"/>
        <v>1952</v>
      </c>
      <c r="F2159" s="233"/>
      <c r="G2159" s="233" t="s">
        <v>45</v>
      </c>
      <c r="H2159" s="412" t="s">
        <v>4133</v>
      </c>
      <c r="I2159" s="221"/>
      <c r="J2159" s="202"/>
      <c r="K2159" s="388"/>
    </row>
    <row r="2160" spans="1:11" ht="30" customHeight="1" x14ac:dyDescent="0.25">
      <c r="A2160" s="342"/>
      <c r="B2160" s="342" t="s">
        <v>3572</v>
      </c>
      <c r="C2160" s="343" t="s">
        <v>4142</v>
      </c>
      <c r="D2160" s="343"/>
      <c r="E2160" s="107">
        <f t="shared" si="172"/>
        <v>1953</v>
      </c>
      <c r="F2160" s="233"/>
      <c r="G2160" s="233" t="s">
        <v>45</v>
      </c>
      <c r="H2160" s="412" t="s">
        <v>4130</v>
      </c>
      <c r="I2160" s="221"/>
      <c r="J2160" s="202"/>
      <c r="K2160" s="388"/>
    </row>
    <row r="2161" spans="1:11" ht="30" customHeight="1" x14ac:dyDescent="0.25">
      <c r="A2161" s="342"/>
      <c r="B2161" s="342" t="s">
        <v>3576</v>
      </c>
      <c r="C2161" s="343" t="s">
        <v>4143</v>
      </c>
      <c r="D2161" s="343"/>
      <c r="E2161" s="133"/>
      <c r="F2161" s="233"/>
      <c r="G2161" s="233"/>
      <c r="H2161" s="233"/>
      <c r="I2161" s="221"/>
      <c r="J2161" s="202"/>
      <c r="K2161" s="388"/>
    </row>
    <row r="2162" spans="1:11" ht="15" customHeight="1" x14ac:dyDescent="0.25">
      <c r="A2162" s="342"/>
      <c r="B2162" s="342"/>
      <c r="C2162" s="343" t="s">
        <v>4144</v>
      </c>
      <c r="D2162" s="343"/>
      <c r="E2162" s="107">
        <f>E2160+1</f>
        <v>1954</v>
      </c>
      <c r="F2162" s="233"/>
      <c r="G2162" s="233" t="s">
        <v>45</v>
      </c>
      <c r="H2162" s="412" t="s">
        <v>4133</v>
      </c>
      <c r="I2162" s="221"/>
      <c r="J2162" s="202"/>
      <c r="K2162" s="388"/>
    </row>
    <row r="2163" spans="1:11" ht="15" customHeight="1" x14ac:dyDescent="0.25">
      <c r="A2163" s="342"/>
      <c r="B2163" s="342"/>
      <c r="C2163" s="343" t="s">
        <v>4145</v>
      </c>
      <c r="D2163" s="343"/>
      <c r="E2163" s="107">
        <f t="shared" ref="E2163:E2175" si="173">E2162+1</f>
        <v>1955</v>
      </c>
      <c r="F2163" s="417"/>
      <c r="G2163" s="233" t="s">
        <v>45</v>
      </c>
      <c r="H2163" s="412" t="s">
        <v>4133</v>
      </c>
      <c r="I2163" s="221"/>
      <c r="J2163" s="202"/>
      <c r="K2163" s="388"/>
    </row>
    <row r="2164" spans="1:11" ht="15" customHeight="1" x14ac:dyDescent="0.25">
      <c r="A2164" s="342"/>
      <c r="B2164" s="342"/>
      <c r="C2164" s="343" t="s">
        <v>4146</v>
      </c>
      <c r="D2164" s="343"/>
      <c r="E2164" s="107">
        <f t="shared" si="173"/>
        <v>1956</v>
      </c>
      <c r="F2164" s="417"/>
      <c r="G2164" s="233" t="s">
        <v>45</v>
      </c>
      <c r="H2164" s="412" t="s">
        <v>4133</v>
      </c>
      <c r="I2164" s="221"/>
      <c r="J2164" s="202"/>
      <c r="K2164" s="388"/>
    </row>
    <row r="2165" spans="1:11" ht="15" customHeight="1" x14ac:dyDescent="0.25">
      <c r="A2165" s="342"/>
      <c r="B2165" s="342"/>
      <c r="C2165" s="343" t="s">
        <v>4147</v>
      </c>
      <c r="D2165" s="343"/>
      <c r="E2165" s="107">
        <f t="shared" si="173"/>
        <v>1957</v>
      </c>
      <c r="F2165" s="417"/>
      <c r="G2165" s="233" t="s">
        <v>45</v>
      </c>
      <c r="H2165" s="412" t="s">
        <v>4133</v>
      </c>
      <c r="I2165" s="221"/>
      <c r="J2165" s="202"/>
      <c r="K2165" s="388"/>
    </row>
    <row r="2166" spans="1:11" ht="15" customHeight="1" x14ac:dyDescent="0.25">
      <c r="A2166" s="342"/>
      <c r="B2166" s="342"/>
      <c r="C2166" s="343" t="s">
        <v>4148</v>
      </c>
      <c r="D2166" s="343"/>
      <c r="E2166" s="107">
        <f t="shared" si="173"/>
        <v>1958</v>
      </c>
      <c r="F2166" s="417"/>
      <c r="G2166" s="233" t="s">
        <v>45</v>
      </c>
      <c r="H2166" s="412" t="s">
        <v>4133</v>
      </c>
      <c r="I2166" s="221"/>
      <c r="J2166" s="202"/>
      <c r="K2166" s="388"/>
    </row>
    <row r="2167" spans="1:11" ht="30" customHeight="1" x14ac:dyDescent="0.25">
      <c r="A2167" s="342"/>
      <c r="B2167" s="342" t="s">
        <v>3580</v>
      </c>
      <c r="C2167" s="343" t="s">
        <v>4149</v>
      </c>
      <c r="D2167" s="343"/>
      <c r="E2167" s="107">
        <f t="shared" si="173"/>
        <v>1959</v>
      </c>
      <c r="F2167" s="233"/>
      <c r="G2167" s="233" t="s">
        <v>45</v>
      </c>
      <c r="H2167" s="412" t="s">
        <v>4130</v>
      </c>
      <c r="I2167" s="221"/>
      <c r="J2167" s="202"/>
      <c r="K2167" s="388"/>
    </row>
    <row r="2168" spans="1:11" ht="30" customHeight="1" x14ac:dyDescent="0.25">
      <c r="A2168" s="342"/>
      <c r="B2168" s="342" t="s">
        <v>3582</v>
      </c>
      <c r="C2168" s="343" t="s">
        <v>4150</v>
      </c>
      <c r="D2168" s="343"/>
      <c r="E2168" s="107">
        <f t="shared" si="173"/>
        <v>1960</v>
      </c>
      <c r="F2168" s="233"/>
      <c r="G2168" s="233"/>
      <c r="H2168" s="412"/>
      <c r="I2168" s="221"/>
      <c r="J2168" s="202"/>
      <c r="K2168" s="388"/>
    </row>
    <row r="2169" spans="1:11" ht="15" customHeight="1" x14ac:dyDescent="0.25">
      <c r="A2169" s="342"/>
      <c r="B2169" s="391"/>
      <c r="C2169" s="343" t="s">
        <v>4151</v>
      </c>
      <c r="D2169" s="343"/>
      <c r="E2169" s="107">
        <f t="shared" si="173"/>
        <v>1961</v>
      </c>
      <c r="F2169" s="233"/>
      <c r="G2169" s="233" t="s">
        <v>45</v>
      </c>
      <c r="H2169" s="412" t="s">
        <v>4133</v>
      </c>
      <c r="I2169" s="221"/>
      <c r="J2169" s="202"/>
      <c r="K2169" s="388"/>
    </row>
    <row r="2170" spans="1:11" ht="15" customHeight="1" x14ac:dyDescent="0.25">
      <c r="A2170" s="342"/>
      <c r="B2170" s="342"/>
      <c r="C2170" s="343" t="s">
        <v>4152</v>
      </c>
      <c r="D2170" s="343"/>
      <c r="E2170" s="107">
        <f t="shared" si="173"/>
        <v>1962</v>
      </c>
      <c r="F2170" s="233"/>
      <c r="G2170" s="233" t="s">
        <v>45</v>
      </c>
      <c r="H2170" s="412" t="s">
        <v>4133</v>
      </c>
      <c r="I2170" s="221"/>
      <c r="J2170" s="202"/>
      <c r="K2170" s="388"/>
    </row>
    <row r="2171" spans="1:11" ht="15" customHeight="1" x14ac:dyDescent="0.25">
      <c r="A2171" s="342"/>
      <c r="B2171" s="342"/>
      <c r="C2171" s="343" t="s">
        <v>4153</v>
      </c>
      <c r="D2171" s="343"/>
      <c r="E2171" s="107">
        <f t="shared" si="173"/>
        <v>1963</v>
      </c>
      <c r="F2171" s="233"/>
      <c r="G2171" s="233" t="s">
        <v>45</v>
      </c>
      <c r="H2171" s="412" t="s">
        <v>4133</v>
      </c>
      <c r="I2171" s="221"/>
      <c r="J2171" s="202"/>
      <c r="K2171" s="388"/>
    </row>
    <row r="2172" spans="1:11" ht="15" customHeight="1" x14ac:dyDescent="0.25">
      <c r="A2172" s="342"/>
      <c r="B2172" s="342"/>
      <c r="C2172" s="343" t="s">
        <v>4154</v>
      </c>
      <c r="D2172" s="343"/>
      <c r="E2172" s="107">
        <f t="shared" si="173"/>
        <v>1964</v>
      </c>
      <c r="F2172" s="233"/>
      <c r="G2172" s="233" t="s">
        <v>45</v>
      </c>
      <c r="H2172" s="412" t="s">
        <v>4133</v>
      </c>
      <c r="I2172" s="221"/>
      <c r="J2172" s="202"/>
      <c r="K2172" s="388"/>
    </row>
    <row r="2173" spans="1:11" ht="15" customHeight="1" x14ac:dyDescent="0.25">
      <c r="A2173" s="342"/>
      <c r="B2173" s="342"/>
      <c r="C2173" s="343" t="s">
        <v>4155</v>
      </c>
      <c r="D2173" s="343"/>
      <c r="E2173" s="107">
        <f t="shared" si="173"/>
        <v>1965</v>
      </c>
      <c r="F2173" s="233"/>
      <c r="G2173" s="233" t="s">
        <v>45</v>
      </c>
      <c r="H2173" s="412" t="s">
        <v>4133</v>
      </c>
      <c r="I2173" s="221"/>
      <c r="J2173" s="202"/>
      <c r="K2173" s="388"/>
    </row>
    <row r="2174" spans="1:11" ht="15" customHeight="1" x14ac:dyDescent="0.25">
      <c r="A2174" s="342"/>
      <c r="B2174" s="342"/>
      <c r="C2174" s="343" t="s">
        <v>4156</v>
      </c>
      <c r="D2174" s="343"/>
      <c r="E2174" s="107">
        <f t="shared" si="173"/>
        <v>1966</v>
      </c>
      <c r="F2174" s="233"/>
      <c r="G2174" s="233" t="s">
        <v>45</v>
      </c>
      <c r="H2174" s="412" t="s">
        <v>4133</v>
      </c>
      <c r="I2174" s="221"/>
      <c r="J2174" s="202"/>
      <c r="K2174" s="388"/>
    </row>
    <row r="2175" spans="1:11" ht="30" customHeight="1" x14ac:dyDescent="0.25">
      <c r="A2175" s="342"/>
      <c r="B2175" s="342" t="s">
        <v>3584</v>
      </c>
      <c r="C2175" s="343" t="s">
        <v>4157</v>
      </c>
      <c r="D2175" s="343"/>
      <c r="E2175" s="107">
        <f t="shared" si="173"/>
        <v>1967</v>
      </c>
      <c r="F2175" s="233"/>
      <c r="G2175" s="233" t="s">
        <v>45</v>
      </c>
      <c r="H2175" s="412" t="s">
        <v>4130</v>
      </c>
      <c r="I2175" s="221"/>
      <c r="J2175" s="202"/>
      <c r="K2175" s="388"/>
    </row>
    <row r="2176" spans="1:11" ht="30" customHeight="1" x14ac:dyDescent="0.25">
      <c r="A2176" s="342"/>
      <c r="B2176" s="342" t="s">
        <v>3586</v>
      </c>
      <c r="C2176" s="343" t="s">
        <v>4158</v>
      </c>
      <c r="D2176" s="343"/>
      <c r="E2176" s="133"/>
      <c r="F2176" s="233"/>
      <c r="G2176" s="233"/>
      <c r="H2176" s="233"/>
      <c r="I2176" s="221"/>
      <c r="J2176" s="202"/>
      <c r="K2176" s="388"/>
    </row>
    <row r="2177" spans="1:11" ht="15" customHeight="1" x14ac:dyDescent="0.25">
      <c r="A2177" s="342"/>
      <c r="B2177" s="342"/>
      <c r="C2177" s="343" t="s">
        <v>4159</v>
      </c>
      <c r="D2177" s="343"/>
      <c r="E2177" s="107">
        <f>E2175+1</f>
        <v>1968</v>
      </c>
      <c r="F2177" s="233"/>
      <c r="G2177" s="233" t="s">
        <v>45</v>
      </c>
      <c r="H2177" s="412" t="s">
        <v>4133</v>
      </c>
      <c r="I2177" s="221"/>
      <c r="J2177" s="202"/>
      <c r="K2177" s="388"/>
    </row>
    <row r="2178" spans="1:11" ht="15" customHeight="1" x14ac:dyDescent="0.25">
      <c r="A2178" s="342"/>
      <c r="B2178" s="342"/>
      <c r="C2178" s="343" t="s">
        <v>4160</v>
      </c>
      <c r="D2178" s="343"/>
      <c r="E2178" s="107">
        <f>E2177+1</f>
        <v>1969</v>
      </c>
      <c r="F2178" s="233"/>
      <c r="G2178" s="233" t="s">
        <v>45</v>
      </c>
      <c r="H2178" s="412" t="s">
        <v>4133</v>
      </c>
      <c r="I2178" s="221"/>
      <c r="J2178" s="202"/>
      <c r="K2178" s="388"/>
    </row>
    <row r="2179" spans="1:11" ht="15" customHeight="1" x14ac:dyDescent="0.25">
      <c r="A2179" s="342"/>
      <c r="B2179" s="342"/>
      <c r="C2179" s="343" t="s">
        <v>4161</v>
      </c>
      <c r="D2179" s="343"/>
      <c r="E2179" s="107">
        <f>E2178+1</f>
        <v>1970</v>
      </c>
      <c r="F2179" s="233"/>
      <c r="G2179" s="233" t="s">
        <v>45</v>
      </c>
      <c r="H2179" s="412" t="s">
        <v>4133</v>
      </c>
      <c r="I2179" s="221"/>
      <c r="J2179" s="202"/>
      <c r="K2179" s="388"/>
    </row>
    <row r="2180" spans="1:11" ht="30" customHeight="1" x14ac:dyDescent="0.25">
      <c r="A2180" s="342"/>
      <c r="B2180" s="342"/>
      <c r="C2180" s="343" t="s">
        <v>4162</v>
      </c>
      <c r="D2180" s="343"/>
      <c r="E2180" s="107">
        <f>E2179+1</f>
        <v>1971</v>
      </c>
      <c r="F2180" s="233"/>
      <c r="G2180" s="233" t="s">
        <v>45</v>
      </c>
      <c r="H2180" s="412" t="s">
        <v>4133</v>
      </c>
      <c r="I2180" s="221"/>
      <c r="J2180" s="202"/>
      <c r="K2180" s="388"/>
    </row>
    <row r="2181" spans="1:11" ht="15" customHeight="1" x14ac:dyDescent="0.25">
      <c r="A2181" s="342"/>
      <c r="B2181" s="342" t="s">
        <v>3590</v>
      </c>
      <c r="C2181" s="343" t="s">
        <v>4163</v>
      </c>
      <c r="D2181" s="343"/>
      <c r="E2181" s="107">
        <f>E2180+1</f>
        <v>1972</v>
      </c>
      <c r="F2181" s="233"/>
      <c r="G2181" s="233" t="s">
        <v>45</v>
      </c>
      <c r="H2181" s="412" t="s">
        <v>4130</v>
      </c>
      <c r="I2181" s="221"/>
      <c r="J2181" s="202"/>
      <c r="K2181" s="388"/>
    </row>
    <row r="2182" spans="1:11" ht="15" customHeight="1" x14ac:dyDescent="0.25">
      <c r="A2182" s="342"/>
      <c r="B2182" s="342" t="s">
        <v>3593</v>
      </c>
      <c r="C2182" s="343" t="s">
        <v>4164</v>
      </c>
      <c r="D2182" s="343"/>
      <c r="E2182" s="133"/>
      <c r="F2182" s="233"/>
      <c r="G2182" s="233"/>
      <c r="H2182" s="233"/>
      <c r="I2182" s="221"/>
      <c r="J2182" s="202"/>
      <c r="K2182" s="388"/>
    </row>
    <row r="2183" spans="1:11" ht="15" customHeight="1" x14ac:dyDescent="0.25">
      <c r="A2183" s="342"/>
      <c r="B2183" s="342"/>
      <c r="C2183" s="343" t="s">
        <v>4165</v>
      </c>
      <c r="D2183" s="343"/>
      <c r="E2183" s="107">
        <f>E2181+1</f>
        <v>1973</v>
      </c>
      <c r="F2183" s="233"/>
      <c r="G2183" s="233" t="s">
        <v>45</v>
      </c>
      <c r="H2183" s="412" t="s">
        <v>4133</v>
      </c>
      <c r="I2183" s="221"/>
      <c r="J2183" s="202"/>
      <c r="K2183" s="388"/>
    </row>
    <row r="2184" spans="1:11" ht="15" customHeight="1" x14ac:dyDescent="0.25">
      <c r="A2184" s="342"/>
      <c r="B2184" s="342"/>
      <c r="C2184" s="343" t="s">
        <v>4166</v>
      </c>
      <c r="D2184" s="343"/>
      <c r="E2184" s="107">
        <f>E2183+1</f>
        <v>1974</v>
      </c>
      <c r="F2184" s="233"/>
      <c r="G2184" s="233" t="s">
        <v>45</v>
      </c>
      <c r="H2184" s="412" t="s">
        <v>4133</v>
      </c>
      <c r="I2184" s="221"/>
      <c r="J2184" s="202"/>
      <c r="K2184" s="388"/>
    </row>
    <row r="2185" spans="1:11" ht="15" customHeight="1" x14ac:dyDescent="0.25">
      <c r="A2185" s="342"/>
      <c r="B2185" s="342"/>
      <c r="C2185" s="343" t="s">
        <v>4167</v>
      </c>
      <c r="D2185" s="343"/>
      <c r="E2185" s="107">
        <f>E2184+1</f>
        <v>1975</v>
      </c>
      <c r="F2185" s="233"/>
      <c r="G2185" s="233" t="s">
        <v>45</v>
      </c>
      <c r="H2185" s="412" t="s">
        <v>4133</v>
      </c>
      <c r="I2185" s="221"/>
      <c r="J2185" s="202"/>
      <c r="K2185" s="388"/>
    </row>
    <row r="2186" spans="1:11" ht="15" customHeight="1" x14ac:dyDescent="0.25">
      <c r="A2186" s="583"/>
      <c r="B2186" s="566"/>
      <c r="C2186" s="341" t="s">
        <v>4168</v>
      </c>
      <c r="D2186" s="341"/>
      <c r="E2186" s="133"/>
      <c r="F2186" s="233"/>
      <c r="G2186" s="233"/>
      <c r="H2186" s="233"/>
      <c r="I2186" s="220"/>
      <c r="J2186" s="202"/>
      <c r="K2186" s="388"/>
    </row>
    <row r="2187" spans="1:11" ht="30" customHeight="1" x14ac:dyDescent="0.25">
      <c r="A2187" s="342"/>
      <c r="B2187" s="342" t="s">
        <v>4169</v>
      </c>
      <c r="C2187" s="343" t="s">
        <v>4170</v>
      </c>
      <c r="D2187" s="343"/>
      <c r="E2187" s="107">
        <f>E2185+1</f>
        <v>1976</v>
      </c>
      <c r="F2187" s="233"/>
      <c r="G2187" s="233" t="s">
        <v>45</v>
      </c>
      <c r="H2187" s="412" t="s">
        <v>4130</v>
      </c>
      <c r="I2187" s="221"/>
      <c r="J2187" s="202"/>
      <c r="K2187" s="388"/>
    </row>
    <row r="2188" spans="1:11" ht="30" customHeight="1" x14ac:dyDescent="0.25">
      <c r="A2188" s="342"/>
      <c r="B2188" s="342" t="s">
        <v>4171</v>
      </c>
      <c r="C2188" s="343" t="s">
        <v>4172</v>
      </c>
      <c r="D2188" s="343"/>
      <c r="E2188" s="107">
        <f>E2187+1</f>
        <v>1977</v>
      </c>
      <c r="F2188" s="233"/>
      <c r="G2188" s="233" t="s">
        <v>45</v>
      </c>
      <c r="H2188" s="412" t="s">
        <v>4130</v>
      </c>
      <c r="I2188" s="221"/>
      <c r="J2188" s="202"/>
      <c r="K2188" s="388"/>
    </row>
    <row r="2189" spans="1:11" ht="15" customHeight="1" x14ac:dyDescent="0.25">
      <c r="A2189" s="583"/>
      <c r="B2189" s="566"/>
      <c r="C2189" s="341" t="s">
        <v>4173</v>
      </c>
      <c r="D2189" s="341"/>
      <c r="E2189" s="133"/>
      <c r="F2189" s="233"/>
      <c r="G2189" s="233"/>
      <c r="H2189" s="233"/>
      <c r="I2189"/>
      <c r="J2189" s="202"/>
      <c r="K2189" s="388"/>
    </row>
    <row r="2190" spans="1:11" ht="15" customHeight="1" x14ac:dyDescent="0.25">
      <c r="A2190" s="252"/>
      <c r="B2190" s="252" t="s">
        <v>4174</v>
      </c>
      <c r="C2190" s="253" t="s">
        <v>4175</v>
      </c>
      <c r="D2190" s="253"/>
      <c r="E2190" s="107">
        <f>E2188+1</f>
        <v>1978</v>
      </c>
      <c r="F2190" s="252"/>
      <c r="G2190" s="252" t="s">
        <v>45</v>
      </c>
      <c r="H2190" s="252" t="str">
        <f>IF(H30=1,"Terdapat","Tidak Terdapat")</f>
        <v>Terdapat</v>
      </c>
      <c r="I2190" s="221"/>
      <c r="J2190" s="199" t="s">
        <v>4176</v>
      </c>
      <c r="K2190" s="388"/>
    </row>
    <row r="2191" spans="1:11" ht="30" customHeight="1" x14ac:dyDescent="0.25">
      <c r="A2191" s="583"/>
      <c r="B2191" s="566"/>
      <c r="C2191" s="344" t="s">
        <v>4177</v>
      </c>
      <c r="D2191" s="344"/>
      <c r="E2191" s="133"/>
      <c r="F2191" s="406"/>
      <c r="G2191" s="406"/>
      <c r="H2191" s="406"/>
      <c r="I2191" s="205"/>
      <c r="J2191" s="202"/>
      <c r="K2191" s="388"/>
    </row>
    <row r="2192" spans="1:11" ht="15" customHeight="1" x14ac:dyDescent="0.25">
      <c r="A2192" s="252"/>
      <c r="B2192" s="252" t="s">
        <v>4178</v>
      </c>
      <c r="C2192" s="253" t="s">
        <v>4179</v>
      </c>
      <c r="D2192" s="253"/>
      <c r="E2192" s="107">
        <f>E2190+1</f>
        <v>1979</v>
      </c>
      <c r="F2192" s="252"/>
      <c r="G2192" s="252" t="s">
        <v>45</v>
      </c>
      <c r="H2192" s="252" t="str">
        <f>H32</f>
        <v>Definitif</v>
      </c>
      <c r="I2192" s="210"/>
      <c r="J2192" s="199" t="s">
        <v>4180</v>
      </c>
      <c r="K2192" s="388"/>
    </row>
    <row r="2193" spans="1:11" ht="15" customHeight="1" x14ac:dyDescent="0.25">
      <c r="A2193" s="252"/>
      <c r="B2193" s="252" t="s">
        <v>4181</v>
      </c>
      <c r="C2193" s="253" t="s">
        <v>4182</v>
      </c>
      <c r="D2193" s="253"/>
      <c r="E2193" s="107">
        <f>E2192+1</f>
        <v>1980</v>
      </c>
      <c r="F2193" s="252"/>
      <c r="G2193" s="252" t="s">
        <v>45</v>
      </c>
      <c r="H2193" s="252" t="str">
        <f>H47</f>
        <v>Ada</v>
      </c>
      <c r="I2193" s="207"/>
      <c r="J2193" s="199" t="s">
        <v>4183</v>
      </c>
      <c r="K2193" s="388"/>
    </row>
    <row r="2194" spans="1:11" ht="30" customHeight="1" x14ac:dyDescent="0.25">
      <c r="A2194" s="252"/>
      <c r="B2194" s="252" t="s">
        <v>4184</v>
      </c>
      <c r="C2194" s="253" t="s">
        <v>4185</v>
      </c>
      <c r="D2194" s="253"/>
      <c r="E2194" s="107">
        <f>E2193+1</f>
        <v>1981</v>
      </c>
      <c r="F2194" s="252"/>
      <c r="G2194" s="252" t="s">
        <v>45</v>
      </c>
      <c r="H2194" s="252" t="str">
        <f>IF(OR(H65="Ada",H69="Ada",H73="Ada"),"Ada","Tidak  Ada")</f>
        <v>Ada</v>
      </c>
      <c r="I2194" s="207"/>
      <c r="J2194" s="199" t="s">
        <v>4186</v>
      </c>
      <c r="K2194" s="388"/>
    </row>
    <row r="2195" spans="1:11" ht="30" customHeight="1" x14ac:dyDescent="0.25">
      <c r="A2195" s="252"/>
      <c r="B2195" s="252" t="s">
        <v>4187</v>
      </c>
      <c r="C2195" s="253" t="s">
        <v>4188</v>
      </c>
      <c r="D2195" s="253"/>
      <c r="E2195" s="107">
        <f>E2194+1</f>
        <v>1982</v>
      </c>
      <c r="F2195" s="252"/>
      <c r="G2195" s="252" t="s">
        <v>45</v>
      </c>
      <c r="H2195" s="252" t="str">
        <f>IF(OR(H56="Ada",H60="Ada",H52="Ada"),"Ada","Tidak Ada")</f>
        <v>Ada</v>
      </c>
      <c r="I2195" s="207"/>
      <c r="J2195" s="199" t="s">
        <v>4189</v>
      </c>
      <c r="K2195" s="388"/>
    </row>
    <row r="2196" spans="1:11" ht="30" customHeight="1" x14ac:dyDescent="0.25">
      <c r="A2196" s="342"/>
      <c r="B2196" s="342" t="s">
        <v>4190</v>
      </c>
      <c r="C2196" s="343" t="s">
        <v>4191</v>
      </c>
      <c r="D2196" s="343"/>
      <c r="E2196" s="107">
        <f>E2195+1</f>
        <v>1983</v>
      </c>
      <c r="F2196" s="233"/>
      <c r="G2196" s="233" t="s">
        <v>45</v>
      </c>
      <c r="H2196" s="412" t="s">
        <v>148</v>
      </c>
      <c r="I2196" s="207"/>
      <c r="J2196" s="202"/>
      <c r="K2196" s="388"/>
    </row>
    <row r="2197" spans="1:11" ht="30" customHeight="1" x14ac:dyDescent="0.25">
      <c r="A2197" s="342"/>
      <c r="B2197" s="342" t="s">
        <v>4192</v>
      </c>
      <c r="C2197" s="343" t="s">
        <v>4193</v>
      </c>
      <c r="D2197" s="343"/>
      <c r="E2197" s="107">
        <f>E2196+1</f>
        <v>1984</v>
      </c>
      <c r="F2197" s="233"/>
      <c r="G2197" s="233" t="s">
        <v>45</v>
      </c>
      <c r="H2197" s="412" t="s">
        <v>4130</v>
      </c>
      <c r="I2197" s="207"/>
      <c r="J2197" s="202"/>
      <c r="K2197" s="388"/>
    </row>
    <row r="2198" spans="1:11" ht="15" customHeight="1" x14ac:dyDescent="0.25">
      <c r="A2198" s="583"/>
      <c r="B2198" s="566"/>
      <c r="C2198" s="341" t="s">
        <v>4194</v>
      </c>
      <c r="D2198" s="341"/>
      <c r="E2198" s="133"/>
      <c r="F2198" s="233"/>
      <c r="G2198" s="233"/>
      <c r="H2198" s="233"/>
      <c r="I2198" s="206"/>
      <c r="J2198" s="202"/>
      <c r="K2198" s="388"/>
    </row>
    <row r="2199" spans="1:11" ht="15" customHeight="1" x14ac:dyDescent="0.25">
      <c r="A2199" s="252"/>
      <c r="B2199" s="252" t="s">
        <v>4195</v>
      </c>
      <c r="C2199" s="253" t="s">
        <v>4196</v>
      </c>
      <c r="D2199" s="253"/>
      <c r="E2199" s="107">
        <f>E2197+1</f>
        <v>1985</v>
      </c>
      <c r="F2199" s="252"/>
      <c r="G2199" s="252" t="s">
        <v>45</v>
      </c>
      <c r="H2199" s="252" t="str">
        <f>IF(SUM(H79:H80)&gt;0,"Ada","Tidak Ada")</f>
        <v>Ada</v>
      </c>
      <c r="I2199" s="221"/>
      <c r="J2199" s="199" t="s">
        <v>4197</v>
      </c>
      <c r="K2199" s="388"/>
    </row>
    <row r="2200" spans="1:11" ht="15" customHeight="1" x14ac:dyDescent="0.25">
      <c r="A2200" s="342"/>
      <c r="B2200" s="342" t="s">
        <v>4198</v>
      </c>
      <c r="C2200" s="343" t="s">
        <v>4199</v>
      </c>
      <c r="D2200" s="343"/>
      <c r="E2200" s="107">
        <f>E2199+1</f>
        <v>1986</v>
      </c>
      <c r="F2200" s="392"/>
      <c r="G2200" s="233" t="s">
        <v>4200</v>
      </c>
      <c r="H2200" s="412">
        <v>10</v>
      </c>
      <c r="I2200" s="205"/>
      <c r="J2200" s="202" t="s">
        <v>1703</v>
      </c>
      <c r="K2200" s="388"/>
    </row>
    <row r="2201" spans="1:11" ht="30" customHeight="1" x14ac:dyDescent="0.25">
      <c r="A2201" s="583"/>
      <c r="B2201" s="566"/>
      <c r="C2201" s="341" t="s">
        <v>4201</v>
      </c>
      <c r="D2201" s="341"/>
      <c r="E2201" s="133"/>
      <c r="F2201" s="233"/>
      <c r="G2201" s="233"/>
      <c r="H2201" s="233"/>
      <c r="I2201" s="205"/>
      <c r="J2201" s="202"/>
      <c r="K2201" s="388"/>
    </row>
    <row r="2202" spans="1:11" ht="15" customHeight="1" x14ac:dyDescent="0.25">
      <c r="A2202" s="342"/>
      <c r="B2202" s="342" t="s">
        <v>4202</v>
      </c>
      <c r="C2202" s="343" t="s">
        <v>4203</v>
      </c>
      <c r="D2202" s="343"/>
      <c r="E2202" s="133"/>
      <c r="F2202" s="233"/>
      <c r="G2202" s="233"/>
      <c r="H2202" s="233"/>
      <c r="I2202" s="221"/>
      <c r="J2202" s="202"/>
      <c r="K2202" s="388"/>
    </row>
    <row r="2203" spans="1:11" ht="30" customHeight="1" x14ac:dyDescent="0.25">
      <c r="A2203" s="252"/>
      <c r="B2203" s="252"/>
      <c r="C2203" s="253" t="s">
        <v>4204</v>
      </c>
      <c r="D2203" s="253"/>
      <c r="E2203" s="107">
        <f>E2200+1</f>
        <v>1987</v>
      </c>
      <c r="F2203" s="252"/>
      <c r="G2203" s="252" t="s">
        <v>45</v>
      </c>
      <c r="H2203" s="252">
        <f>IF(SUM(H81:H82)&gt;0,1,0)</f>
        <v>1</v>
      </c>
      <c r="I2203" s="221"/>
      <c r="J2203" s="199" t="s">
        <v>4205</v>
      </c>
      <c r="K2203" s="388"/>
    </row>
    <row r="2204" spans="1:11" ht="30" customHeight="1" x14ac:dyDescent="0.25">
      <c r="A2204" s="252"/>
      <c r="B2204" s="252"/>
      <c r="C2204" s="253" t="s">
        <v>4206</v>
      </c>
      <c r="D2204" s="253"/>
      <c r="E2204" s="107">
        <f t="shared" ref="E2204:E2209" si="174">E2203+1</f>
        <v>1988</v>
      </c>
      <c r="F2204" s="252"/>
      <c r="G2204" s="252" t="s">
        <v>45</v>
      </c>
      <c r="H2204" s="252">
        <f>H738</f>
        <v>1</v>
      </c>
      <c r="I2204" s="221"/>
      <c r="J2204" s="202" t="s">
        <v>4207</v>
      </c>
      <c r="K2204" s="388"/>
    </row>
    <row r="2205" spans="1:11" ht="15" customHeight="1" x14ac:dyDescent="0.25">
      <c r="A2205" s="252"/>
      <c r="B2205" s="252"/>
      <c r="C2205" s="253" t="s">
        <v>4208</v>
      </c>
      <c r="D2205" s="253"/>
      <c r="E2205" s="107">
        <f t="shared" si="174"/>
        <v>1989</v>
      </c>
      <c r="F2205" s="252"/>
      <c r="G2205" s="252" t="s">
        <v>45</v>
      </c>
      <c r="H2205" s="252">
        <f>H736</f>
        <v>1</v>
      </c>
      <c r="I2205" s="221"/>
      <c r="J2205" s="202" t="s">
        <v>4209</v>
      </c>
      <c r="K2205" s="388"/>
    </row>
    <row r="2206" spans="1:11" ht="15" customHeight="1" x14ac:dyDescent="0.25">
      <c r="A2206" s="342"/>
      <c r="B2206" s="342"/>
      <c r="C2206" s="343" t="s">
        <v>4210</v>
      </c>
      <c r="D2206" s="343"/>
      <c r="E2206" s="107">
        <f t="shared" si="174"/>
        <v>1990</v>
      </c>
      <c r="F2206" s="233"/>
      <c r="G2206" s="233" t="s">
        <v>45</v>
      </c>
      <c r="H2206" s="412">
        <v>1</v>
      </c>
      <c r="I2206" s="221"/>
      <c r="J2206" s="202"/>
      <c r="K2206" s="388"/>
    </row>
    <row r="2207" spans="1:11" ht="15" customHeight="1" x14ac:dyDescent="0.25">
      <c r="A2207" s="342"/>
      <c r="B2207" s="342"/>
      <c r="C2207" s="343" t="s">
        <v>4211</v>
      </c>
      <c r="D2207" s="343"/>
      <c r="E2207" s="107">
        <f t="shared" si="174"/>
        <v>1991</v>
      </c>
      <c r="F2207" s="392"/>
      <c r="G2207" s="233" t="s">
        <v>4200</v>
      </c>
      <c r="H2207" s="412">
        <v>6</v>
      </c>
      <c r="I2207" s="221"/>
      <c r="J2207" s="202" t="s">
        <v>1703</v>
      </c>
      <c r="K2207" s="388"/>
    </row>
    <row r="2208" spans="1:11" ht="15" customHeight="1" x14ac:dyDescent="0.25">
      <c r="A2208" s="342"/>
      <c r="B2208" s="342" t="s">
        <v>4212</v>
      </c>
      <c r="C2208" s="343" t="s">
        <v>4213</v>
      </c>
      <c r="D2208" s="343"/>
      <c r="E2208" s="107">
        <f t="shared" si="174"/>
        <v>1992</v>
      </c>
      <c r="F2208" s="233"/>
      <c r="G2208" s="233" t="s">
        <v>45</v>
      </c>
      <c r="H2208" s="412">
        <v>0</v>
      </c>
      <c r="I2208" s="221"/>
      <c r="J2208" s="202"/>
      <c r="K2208" s="388"/>
    </row>
    <row r="2209" spans="1:11" ht="30" customHeight="1" x14ac:dyDescent="0.25">
      <c r="A2209" s="342"/>
      <c r="B2209" s="342"/>
      <c r="C2209" s="343" t="s">
        <v>4214</v>
      </c>
      <c r="D2209" s="343"/>
      <c r="E2209" s="107">
        <f t="shared" si="174"/>
        <v>1993</v>
      </c>
      <c r="F2209" s="392"/>
      <c r="G2209" s="233" t="s">
        <v>4200</v>
      </c>
      <c r="H2209" s="412">
        <v>0</v>
      </c>
      <c r="I2209" s="222"/>
      <c r="J2209" s="202" t="s">
        <v>1703</v>
      </c>
      <c r="K2209" s="388"/>
    </row>
    <row r="2210" spans="1:11" ht="15" customHeight="1" x14ac:dyDescent="0.25">
      <c r="A2210" s="583">
        <v>45</v>
      </c>
      <c r="B2210" s="566"/>
      <c r="C2210" s="344" t="s">
        <v>4215</v>
      </c>
      <c r="D2210" s="344"/>
      <c r="E2210" s="133"/>
      <c r="F2210" s="406"/>
      <c r="G2210" s="406"/>
      <c r="H2210" s="406"/>
      <c r="I2210" s="205"/>
      <c r="J2210" s="202"/>
      <c r="K2210" s="388"/>
    </row>
    <row r="2211" spans="1:11" ht="30" customHeight="1" x14ac:dyDescent="0.25">
      <c r="A2211" s="342"/>
      <c r="B2211" s="342" t="s">
        <v>3564</v>
      </c>
      <c r="C2211" s="343" t="s">
        <v>4216</v>
      </c>
      <c r="D2211" s="343"/>
      <c r="E2211" s="107">
        <f>E2209+1</f>
        <v>1994</v>
      </c>
      <c r="F2211" s="406"/>
      <c r="G2211" s="233" t="s">
        <v>45</v>
      </c>
      <c r="H2211" s="412">
        <v>5</v>
      </c>
      <c r="I2211" s="206"/>
      <c r="J2211" s="202"/>
      <c r="K2211" s="388"/>
    </row>
    <row r="2212" spans="1:11" ht="30" customHeight="1" x14ac:dyDescent="0.25">
      <c r="A2212" s="342"/>
      <c r="B2212" s="342" t="s">
        <v>3567</v>
      </c>
      <c r="C2212" s="343" t="s">
        <v>4217</v>
      </c>
      <c r="D2212" s="343"/>
      <c r="E2212" s="107">
        <f>E2211+1</f>
        <v>1995</v>
      </c>
      <c r="F2212" s="406"/>
      <c r="G2212" s="233" t="s">
        <v>45</v>
      </c>
      <c r="H2212" s="412">
        <v>5</v>
      </c>
      <c r="I2212" s="206"/>
      <c r="J2212" s="202"/>
      <c r="K2212" s="388"/>
    </row>
    <row r="2213" spans="1:11" ht="30" customHeight="1" x14ac:dyDescent="0.25">
      <c r="A2213" s="342"/>
      <c r="B2213" s="342" t="s">
        <v>3570</v>
      </c>
      <c r="C2213" s="343" t="s">
        <v>4218</v>
      </c>
      <c r="D2213" s="343"/>
      <c r="E2213" s="107">
        <f>E2212+1</f>
        <v>1996</v>
      </c>
      <c r="F2213" s="233"/>
      <c r="G2213" s="233" t="s">
        <v>45</v>
      </c>
      <c r="H2213" s="412">
        <v>5</v>
      </c>
      <c r="I2213" s="206"/>
      <c r="J2213" s="202"/>
      <c r="K2213" s="388"/>
    </row>
    <row r="2214" spans="1:11" ht="30" customHeight="1" x14ac:dyDescent="0.25">
      <c r="A2214" s="342"/>
      <c r="B2214" s="342" t="s">
        <v>4219</v>
      </c>
      <c r="C2214" s="343" t="s">
        <v>4220</v>
      </c>
      <c r="D2214" s="343"/>
      <c r="E2214" s="107">
        <f>E2213+1</f>
        <v>1997</v>
      </c>
      <c r="F2214" s="233"/>
      <c r="G2214" s="233" t="s">
        <v>45</v>
      </c>
      <c r="H2214" s="412">
        <v>5</v>
      </c>
      <c r="I2214" s="206"/>
      <c r="J2214" s="202"/>
      <c r="K2214" s="388"/>
    </row>
    <row r="2215" spans="1:11" ht="45" customHeight="1" x14ac:dyDescent="0.25">
      <c r="A2215" s="342"/>
      <c r="B2215" s="342" t="s">
        <v>3576</v>
      </c>
      <c r="C2215" s="343" t="s">
        <v>4221</v>
      </c>
      <c r="D2215" s="343"/>
      <c r="E2215" s="107">
        <f>E2214+1</f>
        <v>1998</v>
      </c>
      <c r="F2215" s="406"/>
      <c r="G2215" s="233" t="s">
        <v>45</v>
      </c>
      <c r="H2215" s="412" t="s">
        <v>4222</v>
      </c>
      <c r="I2215" s="220"/>
      <c r="J2215" s="202"/>
      <c r="K2215" s="388"/>
    </row>
    <row r="2216" spans="1:11" ht="15" customHeight="1" x14ac:dyDescent="0.25">
      <c r="A2216" s="583">
        <v>46</v>
      </c>
      <c r="B2216" s="566"/>
      <c r="C2216" s="341" t="s">
        <v>4223</v>
      </c>
      <c r="D2216" s="341"/>
      <c r="E2216" s="133"/>
      <c r="F2216" s="233"/>
      <c r="G2216" s="233"/>
      <c r="H2216" s="233"/>
      <c r="I2216" s="205"/>
      <c r="J2216" s="202"/>
      <c r="K2216" s="388"/>
    </row>
    <row r="2217" spans="1:11" ht="15" customHeight="1" x14ac:dyDescent="0.25">
      <c r="A2217" s="252"/>
      <c r="B2217" s="252" t="s">
        <v>3564</v>
      </c>
      <c r="C2217" s="253" t="s">
        <v>4224</v>
      </c>
      <c r="D2217" s="253"/>
      <c r="E2217" s="107">
        <f>E2215+1</f>
        <v>1999</v>
      </c>
      <c r="F2217" s="252"/>
      <c r="G2217" s="252" t="s">
        <v>45</v>
      </c>
      <c r="H2217" s="252">
        <f>IF(H761&lt;=2,1,IF(AND(H761&gt;=3,H761&lt;=4),2,IF(AND(H761&gt;=5,H761&lt;=6),3,IF(AND(H761&gt;=7,H761&lt;=9),4,5))))</f>
        <v>5</v>
      </c>
      <c r="I2217" s="206"/>
      <c r="J2217" s="202" t="s">
        <v>4225</v>
      </c>
      <c r="K2217" s="388" t="s">
        <v>4226</v>
      </c>
    </row>
    <row r="2218" spans="1:11" ht="30" customHeight="1" x14ac:dyDescent="0.25">
      <c r="A2218" s="342"/>
      <c r="B2218" s="342" t="s">
        <v>3567</v>
      </c>
      <c r="C2218" s="343" t="s">
        <v>4227</v>
      </c>
      <c r="D2218" s="343"/>
      <c r="E2218" s="107">
        <f>E2217+1</f>
        <v>2000</v>
      </c>
      <c r="F2218" s="233"/>
      <c r="G2218" s="233" t="s">
        <v>45</v>
      </c>
      <c r="H2218" s="412" t="s">
        <v>4228</v>
      </c>
      <c r="I2218" s="207"/>
      <c r="J2218" s="202"/>
      <c r="K2218" s="388"/>
    </row>
    <row r="2219" spans="1:11" ht="15" customHeight="1" x14ac:dyDescent="0.25">
      <c r="A2219" s="342"/>
      <c r="B2219" s="342" t="s">
        <v>3570</v>
      </c>
      <c r="C2219" s="343" t="s">
        <v>4229</v>
      </c>
      <c r="D2219" s="343"/>
      <c r="E2219" s="107">
        <f>E2218+1</f>
        <v>2001</v>
      </c>
      <c r="F2219" s="233"/>
      <c r="G2219" s="233" t="s">
        <v>33</v>
      </c>
      <c r="H2219" s="412">
        <v>8</v>
      </c>
      <c r="I2219" s="206"/>
      <c r="J2219" s="202" t="s">
        <v>1703</v>
      </c>
      <c r="K2219" s="388"/>
    </row>
    <row r="2220" spans="1:11" ht="15" customHeight="1" x14ac:dyDescent="0.25">
      <c r="A2220" s="342"/>
      <c r="B2220" s="342" t="s">
        <v>3572</v>
      </c>
      <c r="C2220" s="343" t="s">
        <v>4230</v>
      </c>
      <c r="D2220" s="343"/>
      <c r="E2220" s="107">
        <f>E2219+1</f>
        <v>2002</v>
      </c>
      <c r="F2220" s="233"/>
      <c r="G2220" s="233" t="s">
        <v>33</v>
      </c>
      <c r="H2220" s="412">
        <v>2</v>
      </c>
      <c r="I2220" s="206"/>
      <c r="J2220" s="202" t="s">
        <v>1703</v>
      </c>
      <c r="K2220" s="388"/>
    </row>
    <row r="2221" spans="1:11" ht="15" customHeight="1" x14ac:dyDescent="0.25">
      <c r="A2221" s="342"/>
      <c r="B2221" s="342"/>
      <c r="C2221" s="341" t="s">
        <v>4231</v>
      </c>
      <c r="D2221" s="341"/>
      <c r="E2221" s="133"/>
      <c r="F2221" s="233"/>
      <c r="G2221" s="233"/>
      <c r="H2221" s="233"/>
      <c r="I2221" s="205"/>
      <c r="J2221" s="202"/>
      <c r="K2221" s="388"/>
    </row>
    <row r="2222" spans="1:11" ht="105" customHeight="1" x14ac:dyDescent="0.25">
      <c r="A2222" s="342"/>
      <c r="B2222" s="342" t="s">
        <v>3576</v>
      </c>
      <c r="C2222" s="343" t="s">
        <v>4232</v>
      </c>
      <c r="D2222" s="343"/>
      <c r="E2222" s="107">
        <f>E2220+1</f>
        <v>2003</v>
      </c>
      <c r="F2222" s="233"/>
      <c r="G2222" s="233" t="s">
        <v>45</v>
      </c>
      <c r="H2222" s="412">
        <v>5</v>
      </c>
      <c r="I2222" s="206"/>
      <c r="J2222" s="202"/>
      <c r="K2222" s="388"/>
    </row>
    <row r="2223" spans="1:11" ht="30" customHeight="1" x14ac:dyDescent="0.25">
      <c r="A2223" s="342"/>
      <c r="B2223" s="342" t="s">
        <v>3580</v>
      </c>
      <c r="C2223" s="343" t="s">
        <v>4233</v>
      </c>
      <c r="D2223" s="343"/>
      <c r="E2223" s="107">
        <f>E2222+1</f>
        <v>2004</v>
      </c>
      <c r="F2223" s="233"/>
      <c r="G2223" s="233" t="s">
        <v>33</v>
      </c>
      <c r="H2223" s="412" t="s">
        <v>4234</v>
      </c>
      <c r="I2223" s="207"/>
      <c r="J2223" s="202"/>
      <c r="K2223" s="388"/>
    </row>
    <row r="2224" spans="1:11" ht="15" customHeight="1" x14ac:dyDescent="0.25">
      <c r="A2224" s="342"/>
      <c r="B2224" s="342"/>
      <c r="C2224" s="341" t="s">
        <v>4235</v>
      </c>
      <c r="D2224" s="341"/>
      <c r="E2224" s="133"/>
      <c r="F2224" s="233"/>
      <c r="G2224" s="233"/>
      <c r="H2224" s="233"/>
      <c r="I2224" s="205"/>
      <c r="J2224" s="202"/>
      <c r="K2224" s="388"/>
    </row>
    <row r="2225" spans="1:11" ht="30" customHeight="1" x14ac:dyDescent="0.25">
      <c r="A2225" s="342"/>
      <c r="B2225" s="342" t="s">
        <v>3582</v>
      </c>
      <c r="C2225" s="343" t="s">
        <v>4236</v>
      </c>
      <c r="D2225" s="343"/>
      <c r="E2225" s="107">
        <f>E2223+1</f>
        <v>2005</v>
      </c>
      <c r="F2225" s="233"/>
      <c r="G2225" s="233" t="s">
        <v>45</v>
      </c>
      <c r="H2225" s="412">
        <v>1</v>
      </c>
      <c r="I2225" s="221"/>
      <c r="J2225" s="202"/>
      <c r="K2225" s="388"/>
    </row>
    <row r="2226" spans="1:11" ht="30" customHeight="1" x14ac:dyDescent="0.25">
      <c r="A2226" s="342"/>
      <c r="B2226" s="342" t="s">
        <v>3584</v>
      </c>
      <c r="C2226" s="343" t="s">
        <v>4237</v>
      </c>
      <c r="D2226" s="343"/>
      <c r="E2226" s="107">
        <f>E2225+1</f>
        <v>2006</v>
      </c>
      <c r="F2226" s="233"/>
      <c r="G2226" s="233" t="s">
        <v>45</v>
      </c>
      <c r="H2226" s="412">
        <v>1</v>
      </c>
      <c r="I2226" s="221"/>
      <c r="J2226" s="202"/>
      <c r="K2226" s="388"/>
    </row>
    <row r="2227" spans="1:11" ht="60" customHeight="1" x14ac:dyDescent="0.25">
      <c r="A2227" s="342"/>
      <c r="B2227" s="342" t="s">
        <v>3586</v>
      </c>
      <c r="C2227" s="343" t="s">
        <v>4238</v>
      </c>
      <c r="D2227" s="343"/>
      <c r="E2227" s="107">
        <f>E2226+1</f>
        <v>2007</v>
      </c>
      <c r="F2227" s="233"/>
      <c r="G2227" s="233" t="s">
        <v>45</v>
      </c>
      <c r="H2227" s="412">
        <v>1</v>
      </c>
      <c r="I2227" s="221"/>
      <c r="J2227" s="202"/>
      <c r="K2227" s="388"/>
    </row>
    <row r="2228" spans="1:11" ht="15" customHeight="1" x14ac:dyDescent="0.25">
      <c r="A2228" s="583"/>
      <c r="B2228" s="566"/>
      <c r="C2228" s="340" t="s">
        <v>4239</v>
      </c>
      <c r="D2228" s="340"/>
      <c r="E2228" s="133"/>
      <c r="F2228" s="233"/>
      <c r="G2228" s="233"/>
      <c r="H2228" s="233"/>
      <c r="I2228" s="206"/>
      <c r="J2228" s="202"/>
      <c r="K2228" s="388"/>
    </row>
    <row r="2229" spans="1:11" ht="15" customHeight="1" x14ac:dyDescent="0.25">
      <c r="A2229" s="583">
        <v>47</v>
      </c>
      <c r="B2229" s="566"/>
      <c r="C2229" s="341" t="s">
        <v>4240</v>
      </c>
      <c r="D2229" s="341"/>
      <c r="E2229" s="133"/>
      <c r="F2229" s="233"/>
      <c r="G2229" s="233"/>
      <c r="H2229" s="233"/>
      <c r="I2229" s="206"/>
      <c r="J2229" s="202"/>
      <c r="K2229" s="388"/>
    </row>
    <row r="2230" spans="1:11" ht="15" customHeight="1" x14ac:dyDescent="0.25">
      <c r="A2230" s="343"/>
      <c r="B2230" s="345" t="s">
        <v>3564</v>
      </c>
      <c r="C2230" s="343" t="s">
        <v>4241</v>
      </c>
      <c r="D2230" s="343"/>
      <c r="E2230" s="107">
        <f>E2227+1</f>
        <v>2008</v>
      </c>
      <c r="F2230" s="233"/>
      <c r="G2230" s="233" t="s">
        <v>45</v>
      </c>
      <c r="H2230" s="412">
        <v>5</v>
      </c>
      <c r="I2230" s="206"/>
      <c r="J2230" s="202"/>
      <c r="K2230" s="388"/>
    </row>
    <row r="2231" spans="1:11" ht="15" customHeight="1" x14ac:dyDescent="0.25">
      <c r="A2231" s="343"/>
      <c r="B2231" s="345" t="s">
        <v>3567</v>
      </c>
      <c r="C2231" s="343" t="s">
        <v>4242</v>
      </c>
      <c r="D2231" s="343"/>
      <c r="E2231" s="133"/>
      <c r="F2231" s="234"/>
      <c r="G2231" s="233"/>
      <c r="H2231" s="233"/>
      <c r="I2231" s="206"/>
      <c r="J2231" s="202"/>
      <c r="K2231" s="388"/>
    </row>
    <row r="2232" spans="1:11" ht="15" customHeight="1" x14ac:dyDescent="0.25">
      <c r="A2232" s="343"/>
      <c r="B2232" s="345"/>
      <c r="C2232" s="343" t="s">
        <v>4243</v>
      </c>
      <c r="D2232" s="343"/>
      <c r="E2232" s="107">
        <f>E2230+1</f>
        <v>2009</v>
      </c>
      <c r="F2232" s="234"/>
      <c r="G2232" s="233" t="s">
        <v>33</v>
      </c>
      <c r="H2232" s="418">
        <v>0</v>
      </c>
      <c r="I2232" s="223"/>
      <c r="J2232" s="202"/>
      <c r="K2232" s="388"/>
    </row>
    <row r="2233" spans="1:11" ht="15" customHeight="1" x14ac:dyDescent="0.25">
      <c r="A2233" s="343"/>
      <c r="B2233" s="345"/>
      <c r="C2233" s="343" t="s">
        <v>4244</v>
      </c>
      <c r="D2233" s="343"/>
      <c r="E2233" s="107">
        <f t="shared" ref="E2233:E2242" si="175">E2232+1</f>
        <v>2010</v>
      </c>
      <c r="F2233" s="234"/>
      <c r="G2233" s="233" t="s">
        <v>33</v>
      </c>
      <c r="H2233" s="418" t="s">
        <v>4245</v>
      </c>
      <c r="I2233" s="223"/>
      <c r="J2233" s="202"/>
      <c r="K2233" s="388"/>
    </row>
    <row r="2234" spans="1:11" ht="15" customHeight="1" x14ac:dyDescent="0.25">
      <c r="A2234" s="343"/>
      <c r="B2234" s="345"/>
      <c r="C2234" s="343" t="s">
        <v>4246</v>
      </c>
      <c r="D2234" s="343"/>
      <c r="E2234" s="107">
        <f t="shared" si="175"/>
        <v>2011</v>
      </c>
      <c r="F2234" s="234"/>
      <c r="G2234" s="233" t="s">
        <v>33</v>
      </c>
      <c r="H2234" s="418">
        <v>0</v>
      </c>
      <c r="I2234" s="223"/>
      <c r="J2234" s="202"/>
      <c r="K2234" s="388"/>
    </row>
    <row r="2235" spans="1:11" ht="15" customHeight="1" x14ac:dyDescent="0.25">
      <c r="A2235" s="343"/>
      <c r="B2235" s="345"/>
      <c r="C2235" s="343" t="s">
        <v>4247</v>
      </c>
      <c r="D2235" s="343"/>
      <c r="E2235" s="107">
        <f t="shared" si="175"/>
        <v>2012</v>
      </c>
      <c r="F2235" s="234"/>
      <c r="G2235" s="233" t="s">
        <v>33</v>
      </c>
      <c r="H2235" s="418">
        <v>0</v>
      </c>
      <c r="I2235" s="223"/>
      <c r="J2235" s="202"/>
      <c r="K2235" s="388"/>
    </row>
    <row r="2236" spans="1:11" ht="15" customHeight="1" x14ac:dyDescent="0.25">
      <c r="A2236" s="253"/>
      <c r="B2236" s="346"/>
      <c r="C2236" s="253" t="s">
        <v>4248</v>
      </c>
      <c r="D2236" s="253"/>
      <c r="E2236" s="107">
        <f t="shared" si="175"/>
        <v>2013</v>
      </c>
      <c r="F2236" s="253"/>
      <c r="G2236" s="346" t="s">
        <v>4249</v>
      </c>
      <c r="H2236" s="347">
        <f>SUM(H2232:H2235)</f>
        <v>0</v>
      </c>
      <c r="I2236" s="223"/>
      <c r="J2236" s="199"/>
      <c r="K2236" s="388"/>
    </row>
    <row r="2237" spans="1:11" ht="15" customHeight="1" x14ac:dyDescent="0.25">
      <c r="A2237" s="343"/>
      <c r="B2237" s="345" t="s">
        <v>3570</v>
      </c>
      <c r="C2237" s="343" t="s">
        <v>4250</v>
      </c>
      <c r="D2237" s="343"/>
      <c r="E2237" s="107">
        <f t="shared" si="175"/>
        <v>2014</v>
      </c>
      <c r="F2237" s="234"/>
      <c r="G2237" s="233" t="s">
        <v>33</v>
      </c>
      <c r="H2237" s="418" t="s">
        <v>4251</v>
      </c>
      <c r="I2237" s="223"/>
      <c r="J2237" s="202"/>
      <c r="K2237" s="388"/>
    </row>
    <row r="2238" spans="1:11" ht="15" customHeight="1" x14ac:dyDescent="0.25">
      <c r="A2238" s="253"/>
      <c r="B2238" s="346" t="s">
        <v>3572</v>
      </c>
      <c r="C2238" s="253" t="s">
        <v>4252</v>
      </c>
      <c r="D2238" s="252" t="s">
        <v>3569</v>
      </c>
      <c r="E2238" s="107">
        <f t="shared" si="175"/>
        <v>2015</v>
      </c>
      <c r="F2238" s="433"/>
      <c r="G2238" s="348">
        <f>IFERROR((H2236-H2237)/H2237,0)</f>
        <v>0</v>
      </c>
      <c r="H2238" s="349">
        <f>IF(AND(G2238&gt;0%,G2238&lt;=1%),4,IF(G2238&gt;1%,5,IF(G2238&lt;0%,1,2)))</f>
        <v>2</v>
      </c>
      <c r="I2238" s="208"/>
      <c r="J2238" s="202"/>
      <c r="K2238" s="388"/>
    </row>
    <row r="2239" spans="1:11" ht="30" customHeight="1" x14ac:dyDescent="0.25">
      <c r="A2239" s="342"/>
      <c r="B2239" s="345" t="s">
        <v>3576</v>
      </c>
      <c r="C2239" s="343" t="s">
        <v>4253</v>
      </c>
      <c r="D2239" s="343"/>
      <c r="E2239" s="107">
        <f t="shared" si="175"/>
        <v>2016</v>
      </c>
      <c r="F2239" s="233"/>
      <c r="G2239" s="233" t="s">
        <v>45</v>
      </c>
      <c r="H2239" s="412">
        <v>1</v>
      </c>
      <c r="I2239" s="206"/>
      <c r="J2239" s="202"/>
      <c r="K2239" s="388"/>
    </row>
    <row r="2240" spans="1:11" ht="15" customHeight="1" x14ac:dyDescent="0.25">
      <c r="A2240" s="252"/>
      <c r="B2240" s="346" t="s">
        <v>3580</v>
      </c>
      <c r="C2240" s="253" t="s">
        <v>4254</v>
      </c>
      <c r="D2240" s="253"/>
      <c r="E2240" s="107">
        <f t="shared" si="175"/>
        <v>2017</v>
      </c>
      <c r="F2240" s="252"/>
      <c r="G2240" s="252" t="s">
        <v>33</v>
      </c>
      <c r="H2240" s="350">
        <f>H1597</f>
        <v>1123448000</v>
      </c>
      <c r="I2240" s="224"/>
      <c r="J2240" s="199" t="s">
        <v>4255</v>
      </c>
      <c r="K2240" s="388"/>
    </row>
    <row r="2241" spans="1:11" ht="15" customHeight="1" x14ac:dyDescent="0.25">
      <c r="A2241" s="342"/>
      <c r="B2241" s="345" t="s">
        <v>3582</v>
      </c>
      <c r="C2241" s="343" t="s">
        <v>4256</v>
      </c>
      <c r="D2241" s="343"/>
      <c r="E2241" s="107">
        <f t="shared" si="175"/>
        <v>2018</v>
      </c>
      <c r="F2241" s="233"/>
      <c r="G2241" s="233" t="s">
        <v>33</v>
      </c>
      <c r="H2241" s="418">
        <v>0</v>
      </c>
      <c r="I2241" s="224"/>
      <c r="J2241" s="199" t="s">
        <v>4257</v>
      </c>
      <c r="K2241" s="388"/>
    </row>
    <row r="2242" spans="1:11" ht="30" customHeight="1" x14ac:dyDescent="0.25">
      <c r="A2242" s="252"/>
      <c r="B2242" s="346" t="s">
        <v>3580</v>
      </c>
      <c r="C2242" s="253" t="s">
        <v>4258</v>
      </c>
      <c r="D2242" s="252" t="s">
        <v>3595</v>
      </c>
      <c r="E2242" s="107">
        <f t="shared" si="175"/>
        <v>2019</v>
      </c>
      <c r="F2242" s="433"/>
      <c r="G2242" s="252" t="s">
        <v>33</v>
      </c>
      <c r="H2242" s="348">
        <f>IFERROR(H2241/H2240,0)</f>
        <v>0</v>
      </c>
      <c r="I2242" s="225"/>
      <c r="J2242" s="202"/>
      <c r="K2242" s="388"/>
    </row>
    <row r="2243" spans="1:11" ht="15" customHeight="1" x14ac:dyDescent="0.25">
      <c r="A2243" s="583">
        <v>48</v>
      </c>
      <c r="B2243" s="566"/>
      <c r="C2243" s="341" t="s">
        <v>4259</v>
      </c>
      <c r="D2243" s="341"/>
      <c r="E2243" s="133"/>
      <c r="F2243" s="233"/>
      <c r="G2243" s="233"/>
      <c r="H2243" s="233"/>
      <c r="I2243" s="205"/>
      <c r="J2243" s="202"/>
      <c r="K2243" s="388"/>
    </row>
    <row r="2244" spans="1:11" ht="15" customHeight="1" x14ac:dyDescent="0.25">
      <c r="A2244" s="342"/>
      <c r="B2244" s="342" t="s">
        <v>3564</v>
      </c>
      <c r="C2244" s="343" t="s">
        <v>4260</v>
      </c>
      <c r="D2244" s="343"/>
      <c r="E2244" s="133"/>
      <c r="F2244" s="233"/>
      <c r="G2244" s="233"/>
      <c r="H2244" s="233"/>
      <c r="I2244" s="205"/>
      <c r="J2244" s="202"/>
      <c r="K2244" s="388"/>
    </row>
    <row r="2245" spans="1:11" ht="15" customHeight="1" x14ac:dyDescent="0.25">
      <c r="A2245" s="419"/>
      <c r="B2245" s="419"/>
      <c r="C2245" s="420" t="s">
        <v>4261</v>
      </c>
      <c r="D2245" s="420"/>
      <c r="E2245" s="107">
        <f>E2242+1</f>
        <v>2020</v>
      </c>
      <c r="F2245" s="233"/>
      <c r="G2245" s="233" t="s">
        <v>45</v>
      </c>
      <c r="H2245" s="412">
        <v>5</v>
      </c>
      <c r="I2245" s="206"/>
      <c r="J2245" s="200" t="s">
        <v>4262</v>
      </c>
      <c r="K2245" s="388" t="s">
        <v>4263</v>
      </c>
    </row>
    <row r="2246" spans="1:11" ht="15" customHeight="1" x14ac:dyDescent="0.25">
      <c r="A2246" s="419"/>
      <c r="B2246" s="419"/>
      <c r="C2246" s="420" t="s">
        <v>4264</v>
      </c>
      <c r="D2246" s="420"/>
      <c r="E2246" s="107">
        <f>E2245+1</f>
        <v>2021</v>
      </c>
      <c r="F2246" s="233"/>
      <c r="G2246" s="233" t="s">
        <v>45</v>
      </c>
      <c r="H2246" s="412">
        <v>5</v>
      </c>
      <c r="I2246" s="206"/>
      <c r="J2246" s="200" t="s">
        <v>4262</v>
      </c>
      <c r="K2246" s="388" t="s">
        <v>4265</v>
      </c>
    </row>
    <row r="2247" spans="1:11" ht="15" customHeight="1" x14ac:dyDescent="0.25">
      <c r="A2247" s="419"/>
      <c r="B2247" s="419"/>
      <c r="C2247" s="420" t="s">
        <v>4266</v>
      </c>
      <c r="D2247" s="420"/>
      <c r="E2247" s="107">
        <f>E2246+1</f>
        <v>2022</v>
      </c>
      <c r="F2247" s="233"/>
      <c r="G2247" s="233" t="s">
        <v>45</v>
      </c>
      <c r="H2247" s="412">
        <v>1</v>
      </c>
      <c r="I2247" s="206"/>
      <c r="J2247" s="199" t="s">
        <v>4262</v>
      </c>
      <c r="K2247" s="388" t="s">
        <v>4267</v>
      </c>
    </row>
    <row r="2248" spans="1:11" ht="15" customHeight="1" x14ac:dyDescent="0.25">
      <c r="A2248" s="342"/>
      <c r="B2248" s="342"/>
      <c r="C2248" s="343" t="s">
        <v>4268</v>
      </c>
      <c r="D2248" s="343"/>
      <c r="E2248" s="107">
        <f>E2247+1</f>
        <v>2023</v>
      </c>
      <c r="F2248" s="421"/>
      <c r="G2248" s="421" t="s">
        <v>45</v>
      </c>
      <c r="H2248" s="422">
        <v>5</v>
      </c>
      <c r="I2248" s="206"/>
      <c r="J2248" s="199"/>
      <c r="K2248" s="388"/>
    </row>
    <row r="2249" spans="1:11" ht="15" customHeight="1" x14ac:dyDescent="0.25">
      <c r="A2249" s="252"/>
      <c r="B2249" s="252" t="s">
        <v>3567</v>
      </c>
      <c r="C2249" s="253" t="s">
        <v>4269</v>
      </c>
      <c r="D2249" s="252" t="s">
        <v>3569</v>
      </c>
      <c r="E2249" s="107">
        <f>E2248+1</f>
        <v>2024</v>
      </c>
      <c r="F2249" s="433"/>
      <c r="G2249" s="351">
        <f>COUNTIF(H2245:H2248,"5")/4</f>
        <v>0.75</v>
      </c>
      <c r="H2249" s="352">
        <f>IF(G2249&lt;=20%,1,
IF(AND(G2249&gt;20%,G2249&lt;=40%),2,
IF(AND(G2249&gt;40%,G2249&lt;=60%),3,
IF(AND(G2249&gt;60%,G2249&lt;=80%),4,
IF(AND(G2249&gt;80%,G2249&lt;=100%),5,"Tidak Teridentifikasi")))))</f>
        <v>4</v>
      </c>
      <c r="I2249" s="475" t="s">
        <v>3596</v>
      </c>
      <c r="J2249" s="202"/>
      <c r="K2249" s="388"/>
    </row>
    <row r="2250" spans="1:11" ht="15" customHeight="1" x14ac:dyDescent="0.25">
      <c r="A2250" s="342"/>
      <c r="B2250" s="342" t="s">
        <v>3570</v>
      </c>
      <c r="C2250" s="343" t="s">
        <v>4270</v>
      </c>
      <c r="D2250" s="343"/>
      <c r="E2250" s="107">
        <f>E2249+1</f>
        <v>2025</v>
      </c>
      <c r="F2250" s="423" t="s">
        <v>47</v>
      </c>
      <c r="G2250" s="421" t="s">
        <v>45</v>
      </c>
      <c r="H2250" s="422">
        <v>5</v>
      </c>
      <c r="I2250" s="206"/>
      <c r="J2250" s="202"/>
      <c r="K2250" s="388"/>
    </row>
    <row r="2251" spans="1:11" ht="15" customHeight="1" x14ac:dyDescent="0.25">
      <c r="A2251" s="583"/>
      <c r="B2251" s="566"/>
      <c r="C2251" s="343" t="s">
        <v>4271</v>
      </c>
      <c r="D2251" s="343"/>
      <c r="E2251" s="133"/>
      <c r="F2251" s="421"/>
      <c r="G2251" s="421"/>
      <c r="H2251" s="421"/>
      <c r="I2251" s="205"/>
      <c r="J2251" s="202"/>
      <c r="K2251" s="388"/>
    </row>
    <row r="2252" spans="1:11" ht="45" customHeight="1" x14ac:dyDescent="0.25">
      <c r="A2252" s="342"/>
      <c r="B2252" s="342" t="s">
        <v>3564</v>
      </c>
      <c r="C2252" s="343" t="s">
        <v>4272</v>
      </c>
      <c r="D2252" s="343"/>
      <c r="E2252" s="107">
        <f>E2250+1</f>
        <v>2026</v>
      </c>
      <c r="F2252" s="435"/>
      <c r="G2252" s="424" t="s">
        <v>4273</v>
      </c>
      <c r="H2252" s="422">
        <v>1</v>
      </c>
      <c r="I2252" s="221"/>
      <c r="J2252" s="199" t="s">
        <v>1703</v>
      </c>
      <c r="K2252" s="388"/>
    </row>
    <row r="2253" spans="1:11" ht="30" customHeight="1" x14ac:dyDescent="0.25">
      <c r="A2253" s="252"/>
      <c r="B2253" s="252" t="s">
        <v>3567</v>
      </c>
      <c r="C2253" s="253" t="s">
        <v>4274</v>
      </c>
      <c r="D2253" s="253"/>
      <c r="E2253" s="107">
        <f>E2252+1</f>
        <v>2027</v>
      </c>
      <c r="F2253" s="353" t="s">
        <v>47</v>
      </c>
      <c r="G2253" s="252" t="s">
        <v>33</v>
      </c>
      <c r="H2253" s="252" t="str">
        <f>IF(H1621=1,"Papan Informasi, ","")&amp;IF(H1623=1,"Website, ","")&amp;H1624</f>
        <v>Papan Informasi, Website, Media Sosial</v>
      </c>
      <c r="I2253" s="205"/>
      <c r="J2253" s="199" t="s">
        <v>4275</v>
      </c>
      <c r="K2253" s="388"/>
    </row>
    <row r="2254" spans="1:11" s="6" customFormat="1" x14ac:dyDescent="0.25">
      <c r="B2254" s="396"/>
      <c r="C2254" s="70"/>
      <c r="D2254" s="70"/>
      <c r="E2254" s="105"/>
      <c r="F2254" s="37"/>
      <c r="G2254" s="37"/>
      <c r="H2254" s="1"/>
      <c r="I2254" s="173"/>
      <c r="J2254" s="174"/>
      <c r="K2254" s="385"/>
    </row>
    <row r="2255" spans="1:11" s="6" customFormat="1" x14ac:dyDescent="0.2">
      <c r="B2255" s="129"/>
      <c r="C2255" s="146" t="s">
        <v>1156</v>
      </c>
      <c r="D2255" s="147"/>
      <c r="E2255" s="107" t="s">
        <v>3567</v>
      </c>
      <c r="F2255" s="14">
        <f t="shared" ref="F2255:F2286" si="176">H2255</f>
        <v>5</v>
      </c>
      <c r="G2255" s="148"/>
      <c r="H2255" s="1">
        <f>IF(AND(H544&gt;0,H544&lt;=30),5,IF(AND(H544&gt;30,H544&lt;=60),4,IF(AND(H544&gt;60,H544&lt;=90),3,IF(AND(H544&gt;90,H544&lt;=120),2,IF(H544&gt;120,1,"KOREKSI KEMBALI INPUTAN ANDA")))))</f>
        <v>5</v>
      </c>
      <c r="I2255" s="173"/>
      <c r="J2255" s="174"/>
      <c r="K2255" s="385"/>
    </row>
    <row r="2256" spans="1:11" s="6" customFormat="1" x14ac:dyDescent="0.2">
      <c r="B2256" s="129"/>
      <c r="C2256" s="146" t="s">
        <v>1156</v>
      </c>
      <c r="D2256" s="147"/>
      <c r="E2256" s="107">
        <f>E2253+1</f>
        <v>2028</v>
      </c>
      <c r="F2256" s="14">
        <f t="shared" si="176"/>
        <v>5</v>
      </c>
      <c r="G2256" s="148"/>
      <c r="H2256" s="1">
        <f>H2255</f>
        <v>5</v>
      </c>
      <c r="I2256" s="173"/>
      <c r="J2256" s="174"/>
      <c r="K2256" s="385"/>
    </row>
    <row r="2257" spans="2:11" s="6" customFormat="1" x14ac:dyDescent="0.2">
      <c r="B2257" s="129"/>
      <c r="C2257" s="146" t="s">
        <v>1242</v>
      </c>
      <c r="D2257" s="147"/>
      <c r="E2257" s="107" t="s">
        <v>3567</v>
      </c>
      <c r="F2257" s="14">
        <f t="shared" si="176"/>
        <v>0</v>
      </c>
      <c r="G2257" s="148"/>
      <c r="H2257" s="1">
        <f>IF(VALUE(H590)&gt;=1,5,0)</f>
        <v>0</v>
      </c>
      <c r="I2257" s="173"/>
      <c r="J2257" s="174"/>
      <c r="K2257" s="385"/>
    </row>
    <row r="2258" spans="2:11" s="6" customFormat="1" x14ac:dyDescent="0.2">
      <c r="B2258" s="129"/>
      <c r="C2258" s="146" t="s">
        <v>1242</v>
      </c>
      <c r="D2258" s="147"/>
      <c r="E2258" s="107">
        <f>E2256+1</f>
        <v>2029</v>
      </c>
      <c r="F2258" s="14">
        <f t="shared" si="176"/>
        <v>0</v>
      </c>
      <c r="G2258" s="148"/>
      <c r="H2258" s="1">
        <f>H2257</f>
        <v>0</v>
      </c>
      <c r="I2258" s="173"/>
      <c r="J2258" s="174"/>
      <c r="K2258" s="385"/>
    </row>
    <row r="2259" spans="2:11" s="6" customFormat="1" x14ac:dyDescent="0.2">
      <c r="B2259" s="129"/>
      <c r="C2259" s="146" t="s">
        <v>4276</v>
      </c>
      <c r="D2259" s="147"/>
      <c r="E2259" s="107" t="s">
        <v>3567</v>
      </c>
      <c r="F2259" s="14">
        <f t="shared" si="176"/>
        <v>5</v>
      </c>
      <c r="G2259" s="148"/>
      <c r="H2259" s="1">
        <f>IF(VALUE(H587)&gt;=1,5,1)</f>
        <v>5</v>
      </c>
      <c r="I2259" s="173"/>
      <c r="J2259" s="174"/>
      <c r="K2259" s="385"/>
    </row>
    <row r="2260" spans="2:11" s="6" customFormat="1" x14ac:dyDescent="0.2">
      <c r="B2260" s="129"/>
      <c r="C2260" s="146" t="s">
        <v>4276</v>
      </c>
      <c r="D2260" s="147"/>
      <c r="E2260" s="107">
        <f>E2258+1</f>
        <v>2030</v>
      </c>
      <c r="F2260" s="14">
        <f t="shared" si="176"/>
        <v>5</v>
      </c>
      <c r="G2260" s="148"/>
      <c r="H2260" s="1">
        <f>H2259</f>
        <v>5</v>
      </c>
      <c r="I2260" s="173"/>
      <c r="J2260" s="174"/>
      <c r="K2260" s="385"/>
    </row>
    <row r="2261" spans="2:11" s="6" customFormat="1" x14ac:dyDescent="0.2">
      <c r="B2261" s="129"/>
      <c r="C2261" s="146" t="s">
        <v>1250</v>
      </c>
      <c r="D2261" s="147"/>
      <c r="E2261" s="107" t="s">
        <v>3567</v>
      </c>
      <c r="F2261" s="14">
        <f t="shared" si="176"/>
        <v>4</v>
      </c>
      <c r="G2261" s="148"/>
      <c r="H2261" s="1">
        <f>IF(VALUE(H593)&gt;=5,5,IF(VALUE(H593)=4,4,IF(VALUE(H593)=3,4,IF(VALUE(H593)=2,3,IF(VALUE(H593)=1,2,0)))))</f>
        <v>4</v>
      </c>
      <c r="I2261" s="173"/>
      <c r="J2261" s="174"/>
      <c r="K2261" s="385"/>
    </row>
    <row r="2262" spans="2:11" s="6" customFormat="1" x14ac:dyDescent="0.2">
      <c r="B2262" s="129"/>
      <c r="C2262" s="146" t="s">
        <v>1250</v>
      </c>
      <c r="D2262" s="147"/>
      <c r="E2262" s="107">
        <f>E2260+1</f>
        <v>2031</v>
      </c>
      <c r="F2262" s="14">
        <f t="shared" si="176"/>
        <v>4</v>
      </c>
      <c r="G2262" s="148"/>
      <c r="H2262" s="1">
        <f>H2261</f>
        <v>4</v>
      </c>
      <c r="I2262" s="173"/>
      <c r="J2262" s="174"/>
      <c r="K2262" s="385"/>
    </row>
    <row r="2263" spans="2:11" s="6" customFormat="1" x14ac:dyDescent="0.2">
      <c r="B2263" s="129"/>
      <c r="C2263" s="149" t="s">
        <v>4277</v>
      </c>
      <c r="D2263" s="147"/>
      <c r="E2263" s="107" t="s">
        <v>3564</v>
      </c>
      <c r="F2263" s="14">
        <f t="shared" si="176"/>
        <v>0.88214200334687998</v>
      </c>
      <c r="G2263" s="148"/>
      <c r="H2263" s="150">
        <f>IF(H606=0,0,(VALUE(H606)/VALUE(H493)))</f>
        <v>0.88214200334687998</v>
      </c>
      <c r="I2263" s="173"/>
      <c r="J2263" s="174"/>
      <c r="K2263" s="385"/>
    </row>
    <row r="2264" spans="2:11" s="6" customFormat="1" x14ac:dyDescent="0.2">
      <c r="B2264" s="129"/>
      <c r="C2264" s="146" t="s">
        <v>4278</v>
      </c>
      <c r="D2264" s="147"/>
      <c r="E2264" s="107" t="s">
        <v>3567</v>
      </c>
      <c r="F2264" s="14">
        <f t="shared" si="176"/>
        <v>5</v>
      </c>
      <c r="G2264" s="148"/>
      <c r="H2264" s="1">
        <f>IF(AND(H2263&gt;0.75,H2263&lt;=1),5,IF(AND(H2263&gt;0.59,H2263&lt;=0.75),4,IF(AND(H2263&gt;0.25,H2263&lt;=0.59),3,IF(AND(H2263&gt;0,H2263&lt;=0.25),2,IF(H2263=0,1,"KOREKSI KEMBALI INPUTAN ANDA")))))</f>
        <v>5</v>
      </c>
      <c r="I2264" s="173"/>
      <c r="J2264" s="174"/>
      <c r="K2264" s="385"/>
    </row>
    <row r="2265" spans="2:11" s="6" customFormat="1" x14ac:dyDescent="0.2">
      <c r="B2265" s="129"/>
      <c r="C2265" s="146" t="s">
        <v>4278</v>
      </c>
      <c r="D2265" s="147"/>
      <c r="E2265" s="107">
        <f>E2262+1</f>
        <v>2032</v>
      </c>
      <c r="F2265" s="14">
        <f t="shared" si="176"/>
        <v>5</v>
      </c>
      <c r="G2265" s="148"/>
      <c r="H2265" s="1">
        <f>H2264</f>
        <v>5</v>
      </c>
      <c r="I2265" s="173"/>
      <c r="J2265" s="174"/>
      <c r="K2265" s="385"/>
    </row>
    <row r="2266" spans="2:11" s="6" customFormat="1" x14ac:dyDescent="0.2">
      <c r="B2266" s="129"/>
      <c r="C2266" s="146" t="s">
        <v>1257</v>
      </c>
      <c r="D2266" s="147"/>
      <c r="E2266" s="107" t="s">
        <v>3567</v>
      </c>
      <c r="F2266" s="14">
        <f t="shared" si="176"/>
        <v>1</v>
      </c>
      <c r="G2266" s="148"/>
      <c r="H2266" s="1">
        <f>IF(AND(VALUE(H596)&gt;0,VALUE(H596)&lt;=500),5,IF(AND(VALUE(H596)&gt;500,VALUE(H596)&lt;=1000),4,IF(AND(VALUE(H596)&gt;1000,VALUE(H596)&lt;=2000),3,IF(AND(VALUE(H596)&gt;2000,VALUE(H596)&lt;=3500),2,IF((VALUE(H596)&gt;3500),1,1)))))</f>
        <v>1</v>
      </c>
      <c r="I2266" s="173"/>
      <c r="J2266" s="174"/>
      <c r="K2266" s="385"/>
    </row>
    <row r="2267" spans="2:11" s="6" customFormat="1" x14ac:dyDescent="0.2">
      <c r="B2267" s="129"/>
      <c r="C2267" s="146" t="s">
        <v>1257</v>
      </c>
      <c r="D2267" s="147"/>
      <c r="E2267" s="107">
        <f>E2265+1</f>
        <v>2033</v>
      </c>
      <c r="F2267" s="14">
        <f t="shared" si="176"/>
        <v>1</v>
      </c>
      <c r="G2267" s="148"/>
      <c r="H2267" s="1">
        <f>H2266</f>
        <v>1</v>
      </c>
      <c r="I2267" s="173"/>
      <c r="J2267" s="174"/>
      <c r="K2267" s="385"/>
    </row>
    <row r="2268" spans="2:11" s="6" customFormat="1" x14ac:dyDescent="0.2">
      <c r="B2268" s="129"/>
      <c r="C2268" s="149" t="s">
        <v>4279</v>
      </c>
      <c r="D2268" s="147"/>
      <c r="E2268" s="107" t="s">
        <v>3564</v>
      </c>
      <c r="F2268" s="14">
        <f t="shared" si="176"/>
        <v>1</v>
      </c>
      <c r="G2268" s="148"/>
      <c r="H2268" s="1">
        <f>IF(H601=0,0,IF(H600=0,"KOREKSI KEMBALI INPUTAN ANDA",IF((VALUE(H601)/VALUE(H600))&gt;1,"KOREKSI KEMBALI INPUTAN ANDA",(VALUE(H601)/VALUE(H600)))))</f>
        <v>1</v>
      </c>
      <c r="I2268" s="173"/>
      <c r="J2268" s="174"/>
      <c r="K2268" s="385"/>
    </row>
    <row r="2269" spans="2:11" s="6" customFormat="1" x14ac:dyDescent="0.2">
      <c r="B2269" s="129"/>
      <c r="C2269" s="146" t="s">
        <v>4280</v>
      </c>
      <c r="D2269" s="147"/>
      <c r="E2269" s="107" t="s">
        <v>3567</v>
      </c>
      <c r="F2269" s="14">
        <f t="shared" si="176"/>
        <v>5</v>
      </c>
      <c r="G2269" s="148"/>
      <c r="H2269" s="1">
        <f>IF(AND(H2268&gt;0.75,H2268&lt;=1),5,IF(AND(H2268&gt;0.59,H2268&lt;=0.75),4,IF(AND(H2268&gt;0.259,H2268&lt;=0.5),3,IF(AND(H2268&gt;0,H2268&lt;=0.25),2,IF(H2268=0,1,"KOREKSI INPUTAN")))))</f>
        <v>5</v>
      </c>
      <c r="I2269" s="173"/>
      <c r="J2269" s="174"/>
      <c r="K2269" s="385"/>
    </row>
    <row r="2270" spans="2:11" s="6" customFormat="1" x14ac:dyDescent="0.2">
      <c r="B2270" s="129"/>
      <c r="C2270" s="146" t="s">
        <v>4280</v>
      </c>
      <c r="D2270" s="147"/>
      <c r="E2270" s="107">
        <f>E2267+1</f>
        <v>2034</v>
      </c>
      <c r="F2270" s="14">
        <f t="shared" si="176"/>
        <v>5</v>
      </c>
      <c r="G2270" s="148"/>
      <c r="H2270" s="1">
        <f>H2269</f>
        <v>5</v>
      </c>
      <c r="I2270" s="173"/>
      <c r="J2270" s="174"/>
      <c r="K2270" s="385"/>
    </row>
    <row r="2271" spans="2:11" s="6" customFormat="1" x14ac:dyDescent="0.2">
      <c r="B2271" s="129"/>
      <c r="C2271" s="146" t="s">
        <v>4281</v>
      </c>
      <c r="D2271" s="147"/>
      <c r="E2271" s="107" t="s">
        <v>3567</v>
      </c>
      <c r="F2271" s="14">
        <f t="shared" si="176"/>
        <v>5</v>
      </c>
      <c r="G2271" s="148"/>
      <c r="H2271" s="1">
        <f>IF(AND(VALUE(H675)&gt;0,VALUE(H675)&lt;=3000),5,IF(AND(VALUE(H675)&gt;3000,VALUE(H675)&lt;=6000),4,IF(AND(VALUE(H675)&gt;6000,VALUE(H675)&lt;=8000),3,IF(AND(VALUE(H675)&gt;8000,VALUE(H675)&lt;=10000),2,IF(VALUE(H675)&gt;10000,1,1)))))</f>
        <v>5</v>
      </c>
      <c r="I2271" s="173"/>
      <c r="J2271" s="174"/>
      <c r="K2271" s="385"/>
    </row>
    <row r="2272" spans="2:11" s="6" customFormat="1" x14ac:dyDescent="0.2">
      <c r="B2272" s="129"/>
      <c r="C2272" s="146" t="s">
        <v>4281</v>
      </c>
      <c r="D2272" s="147"/>
      <c r="E2272" s="107">
        <f>E2270+1</f>
        <v>2035</v>
      </c>
      <c r="F2272" s="14">
        <f t="shared" si="176"/>
        <v>5</v>
      </c>
      <c r="G2272" s="148"/>
      <c r="H2272" s="1">
        <f>H2271</f>
        <v>5</v>
      </c>
      <c r="I2272" s="173"/>
      <c r="J2272" s="174"/>
      <c r="K2272" s="385"/>
    </row>
    <row r="2273" spans="2:11" s="6" customFormat="1" x14ac:dyDescent="0.2">
      <c r="B2273" s="129"/>
      <c r="C2273" s="146" t="s">
        <v>4282</v>
      </c>
      <c r="D2273" s="147"/>
      <c r="E2273" s="107" t="s">
        <v>3567</v>
      </c>
      <c r="F2273" s="14">
        <f t="shared" si="176"/>
        <v>4</v>
      </c>
      <c r="G2273" s="148"/>
      <c r="H2273" s="1">
        <f>IF(AND(VALUE(H680)&gt;0,VALUE(H680)&lt;=6000),5,IF(AND(VALUE(H680)&gt;6000,VALUE(H680)&lt;=8000),4,IF(AND(VALUE(H680)&gt;8000,VALUE(H680)&lt;=10000),3,IF(AND(VALUE(H680)&gt;10000,VALUE(H680)&lt;=12000),2,IF(VALUE(H680)&gt;=12000,1,1)))))</f>
        <v>4</v>
      </c>
      <c r="I2273" s="173"/>
      <c r="J2273" s="174"/>
      <c r="K2273" s="385"/>
    </row>
    <row r="2274" spans="2:11" s="6" customFormat="1" x14ac:dyDescent="0.2">
      <c r="B2274" s="129"/>
      <c r="C2274" s="146" t="s">
        <v>4282</v>
      </c>
      <c r="D2274" s="147"/>
      <c r="E2274" s="107">
        <f>E2272+1</f>
        <v>2036</v>
      </c>
      <c r="F2274" s="14">
        <f t="shared" si="176"/>
        <v>4</v>
      </c>
      <c r="G2274" s="148"/>
      <c r="H2274" s="1">
        <f>H2273</f>
        <v>4</v>
      </c>
      <c r="I2274" s="173"/>
      <c r="J2274" s="174"/>
      <c r="K2274" s="385"/>
    </row>
    <row r="2275" spans="2:11" s="6" customFormat="1" x14ac:dyDescent="0.2">
      <c r="B2275" s="129"/>
      <c r="C2275" s="146" t="s">
        <v>4283</v>
      </c>
      <c r="D2275" s="147"/>
      <c r="E2275" s="107" t="s">
        <v>3567</v>
      </c>
      <c r="F2275" s="14">
        <f t="shared" si="176"/>
        <v>5</v>
      </c>
      <c r="G2275" s="148"/>
      <c r="H2275" s="1">
        <f>IF(AND(VALUE(H685)&gt;0,VALUE(H685)&lt;=6000),5,IF(AND(VALUE(H685)&gt;6000,VALUE(H685)&lt;=8000),4,IF(AND(VALUE(H685)&gt;8000,VALUE(H685)&lt;=10000),3,IF(AND(VALUE(H685)&gt;10000,VALUE(H685)&lt;=12000),2,IF(VALUE(H685)&gt;=12000,1,1)))))</f>
        <v>5</v>
      </c>
      <c r="I2275" s="173"/>
      <c r="J2275" s="174"/>
      <c r="K2275" s="385"/>
    </row>
    <row r="2276" spans="2:11" s="6" customFormat="1" x14ac:dyDescent="0.2">
      <c r="B2276" s="129"/>
      <c r="C2276" s="146" t="s">
        <v>4283</v>
      </c>
      <c r="D2276" s="147"/>
      <c r="E2276" s="107">
        <f>E2274+1</f>
        <v>2037</v>
      </c>
      <c r="F2276" s="14">
        <f t="shared" si="176"/>
        <v>5</v>
      </c>
      <c r="G2276" s="148"/>
      <c r="H2276" s="1">
        <f>H2275</f>
        <v>5</v>
      </c>
      <c r="I2276" s="173"/>
      <c r="J2276" s="174"/>
      <c r="K2276" s="385"/>
    </row>
    <row r="2277" spans="2:11" s="6" customFormat="1" x14ac:dyDescent="0.2">
      <c r="B2277" s="129"/>
      <c r="C2277" s="146" t="s">
        <v>4284</v>
      </c>
      <c r="D2277" s="147"/>
      <c r="E2277" s="107" t="s">
        <v>3567</v>
      </c>
      <c r="F2277" s="14">
        <f t="shared" si="176"/>
        <v>5</v>
      </c>
      <c r="G2277" s="148"/>
      <c r="H2277" s="1">
        <f>IF(VALUE(H723)&gt;=1,5,1)</f>
        <v>5</v>
      </c>
      <c r="I2277" s="173"/>
      <c r="J2277" s="174"/>
      <c r="K2277" s="385"/>
    </row>
    <row r="2278" spans="2:11" s="6" customFormat="1" x14ac:dyDescent="0.2">
      <c r="B2278" s="129"/>
      <c r="C2278" s="146" t="s">
        <v>4284</v>
      </c>
      <c r="D2278" s="147"/>
      <c r="E2278" s="107">
        <f>E2276+1</f>
        <v>2038</v>
      </c>
      <c r="F2278" s="14">
        <f t="shared" si="176"/>
        <v>5</v>
      </c>
      <c r="G2278" s="148"/>
      <c r="H2278" s="1">
        <f>H2277</f>
        <v>5</v>
      </c>
      <c r="I2278" s="173"/>
      <c r="J2278" s="174"/>
      <c r="K2278" s="385"/>
    </row>
    <row r="2279" spans="2:11" s="6" customFormat="1" x14ac:dyDescent="0.2">
      <c r="B2279" s="129"/>
      <c r="C2279" s="146" t="s">
        <v>4285</v>
      </c>
      <c r="D2279" s="147"/>
      <c r="E2279" s="107" t="s">
        <v>3567</v>
      </c>
      <c r="F2279" s="14">
        <f t="shared" si="176"/>
        <v>1</v>
      </c>
      <c r="G2279" s="148"/>
      <c r="H2279" s="1">
        <f>IF(VALUE(H724)&gt;=1,5,1)</f>
        <v>1</v>
      </c>
      <c r="I2279" s="173"/>
      <c r="J2279" s="174"/>
      <c r="K2279" s="385"/>
    </row>
    <row r="2280" spans="2:11" s="6" customFormat="1" x14ac:dyDescent="0.2">
      <c r="B2280" s="129"/>
      <c r="C2280" s="146" t="s">
        <v>4285</v>
      </c>
      <c r="D2280" s="147"/>
      <c r="E2280" s="107">
        <f>E2278+1</f>
        <v>2039</v>
      </c>
      <c r="F2280" s="14">
        <f t="shared" si="176"/>
        <v>1</v>
      </c>
      <c r="G2280" s="148"/>
      <c r="H2280" s="1">
        <f>H2279</f>
        <v>1</v>
      </c>
      <c r="I2280" s="173"/>
      <c r="J2280" s="174"/>
      <c r="K2280" s="385"/>
    </row>
    <row r="2281" spans="2:11" s="6" customFormat="1" x14ac:dyDescent="0.2">
      <c r="B2281" s="129"/>
      <c r="C2281" s="146" t="s">
        <v>4286</v>
      </c>
      <c r="D2281" s="147"/>
      <c r="E2281" s="107" t="s">
        <v>3567</v>
      </c>
      <c r="F2281" s="14">
        <f t="shared" si="176"/>
        <v>5</v>
      </c>
      <c r="G2281" s="148"/>
      <c r="H2281" s="1">
        <f>IF(VALUE(H725)&gt;=1,5,1)</f>
        <v>5</v>
      </c>
      <c r="I2281" s="173"/>
      <c r="J2281" s="174"/>
      <c r="K2281" s="385"/>
    </row>
    <row r="2282" spans="2:11" s="6" customFormat="1" x14ac:dyDescent="0.2">
      <c r="B2282" s="129"/>
      <c r="C2282" s="146" t="s">
        <v>4286</v>
      </c>
      <c r="D2282" s="147"/>
      <c r="E2282" s="107">
        <f>E2280+1</f>
        <v>2040</v>
      </c>
      <c r="F2282" s="14">
        <f t="shared" si="176"/>
        <v>5</v>
      </c>
      <c r="G2282" s="148"/>
      <c r="H2282" s="1">
        <f>H2281</f>
        <v>5</v>
      </c>
      <c r="I2282" s="173"/>
      <c r="J2282" s="174"/>
      <c r="K2282" s="385"/>
    </row>
    <row r="2283" spans="2:11" s="6" customFormat="1" x14ac:dyDescent="0.2">
      <c r="B2283" s="129"/>
      <c r="C2283" s="146" t="s">
        <v>4287</v>
      </c>
      <c r="D2283" s="147"/>
      <c r="E2283" s="107" t="s">
        <v>3567</v>
      </c>
      <c r="F2283" s="14">
        <f t="shared" si="176"/>
        <v>5</v>
      </c>
      <c r="G2283" s="148"/>
      <c r="H2283" s="1">
        <f>IF(VALUE(H729)&gt;=1,5,1)</f>
        <v>5</v>
      </c>
      <c r="I2283" s="173"/>
      <c r="J2283" s="174"/>
      <c r="K2283" s="385"/>
    </row>
    <row r="2284" spans="2:11" s="6" customFormat="1" x14ac:dyDescent="0.2">
      <c r="B2284" s="129"/>
      <c r="C2284" s="146" t="s">
        <v>4287</v>
      </c>
      <c r="D2284" s="147"/>
      <c r="E2284" s="107">
        <f>E2282+1</f>
        <v>2041</v>
      </c>
      <c r="F2284" s="14">
        <f t="shared" si="176"/>
        <v>5</v>
      </c>
      <c r="G2284" s="148"/>
      <c r="H2284" s="1">
        <f>H2283</f>
        <v>5</v>
      </c>
      <c r="I2284" s="173"/>
      <c r="J2284" s="174"/>
      <c r="K2284" s="385"/>
    </row>
    <row r="2285" spans="2:11" s="6" customFormat="1" x14ac:dyDescent="0.2">
      <c r="B2285" s="129"/>
      <c r="C2285" s="146" t="s">
        <v>4288</v>
      </c>
      <c r="D2285" s="147"/>
      <c r="E2285" s="107" t="s">
        <v>3567</v>
      </c>
      <c r="F2285" s="14">
        <f t="shared" si="176"/>
        <v>5</v>
      </c>
      <c r="G2285" s="148"/>
      <c r="H2285" s="1">
        <f>IF(VALUE(H732)&gt;=1,5,1)</f>
        <v>5</v>
      </c>
      <c r="I2285" s="173"/>
      <c r="J2285" s="174"/>
      <c r="K2285" s="385"/>
    </row>
    <row r="2286" spans="2:11" s="6" customFormat="1" x14ac:dyDescent="0.2">
      <c r="B2286" s="129"/>
      <c r="C2286" s="146" t="s">
        <v>4288</v>
      </c>
      <c r="D2286" s="147"/>
      <c r="E2286" s="107">
        <f>E2284+1</f>
        <v>2042</v>
      </c>
      <c r="F2286" s="14">
        <f t="shared" si="176"/>
        <v>5</v>
      </c>
      <c r="G2286" s="148"/>
      <c r="H2286" s="1">
        <f>H2285</f>
        <v>5</v>
      </c>
      <c r="I2286" s="173"/>
      <c r="J2286" s="174"/>
      <c r="K2286" s="385"/>
    </row>
    <row r="2287" spans="2:11" s="6" customFormat="1" x14ac:dyDescent="0.2">
      <c r="B2287" s="129"/>
      <c r="C2287" s="146" t="s">
        <v>4289</v>
      </c>
      <c r="D2287" s="147"/>
      <c r="E2287" s="107" t="s">
        <v>3567</v>
      </c>
      <c r="F2287" s="14">
        <f t="shared" ref="F2287:F2318" si="177">H2287</f>
        <v>5</v>
      </c>
      <c r="G2287" s="148"/>
      <c r="H2287" s="1">
        <f>IF(VALUE(H733)&gt;2,5,IF(AND(VALUE(H733)&gt;0,VALUE(H733)&lt;=2),3,IF(VALUE(H733)=0,0,"CEK KEMBALI INPUTAN")))</f>
        <v>5</v>
      </c>
      <c r="I2287" s="173"/>
      <c r="J2287" s="174"/>
      <c r="K2287" s="385"/>
    </row>
    <row r="2288" spans="2:11" s="6" customFormat="1" x14ac:dyDescent="0.2">
      <c r="B2288" s="129"/>
      <c r="C2288" s="146" t="s">
        <v>4289</v>
      </c>
      <c r="D2288" s="147"/>
      <c r="E2288" s="107">
        <f>E2286+1</f>
        <v>2043</v>
      </c>
      <c r="F2288" s="14">
        <f t="shared" si="177"/>
        <v>5</v>
      </c>
      <c r="G2288" s="148"/>
      <c r="H2288" s="1">
        <f>H2287</f>
        <v>5</v>
      </c>
      <c r="I2288" s="173"/>
      <c r="J2288" s="174"/>
      <c r="K2288" s="385"/>
    </row>
    <row r="2289" spans="2:11" s="6" customFormat="1" x14ac:dyDescent="0.2">
      <c r="B2289" s="129"/>
      <c r="C2289" s="146" t="s">
        <v>4290</v>
      </c>
      <c r="D2289" s="147"/>
      <c r="E2289" s="107" t="s">
        <v>3567</v>
      </c>
      <c r="F2289" s="14">
        <f t="shared" si="177"/>
        <v>5</v>
      </c>
      <c r="G2289" s="148"/>
      <c r="H2289" s="1">
        <f>IF(VALUE(H734)&gt;0,5,1)</f>
        <v>5</v>
      </c>
      <c r="I2289" s="173"/>
      <c r="J2289" s="174"/>
      <c r="K2289" s="385"/>
    </row>
    <row r="2290" spans="2:11" s="6" customFormat="1" x14ac:dyDescent="0.2">
      <c r="B2290" s="129"/>
      <c r="C2290" s="146" t="s">
        <v>4290</v>
      </c>
      <c r="D2290" s="147"/>
      <c r="E2290" s="107">
        <f>E2288+1</f>
        <v>2044</v>
      </c>
      <c r="F2290" s="14">
        <f t="shared" si="177"/>
        <v>5</v>
      </c>
      <c r="G2290" s="148"/>
      <c r="H2290" s="1">
        <f>H2289</f>
        <v>5</v>
      </c>
      <c r="I2290" s="173"/>
      <c r="J2290" s="174"/>
      <c r="K2290" s="385"/>
    </row>
    <row r="2291" spans="2:11" s="6" customFormat="1" x14ac:dyDescent="0.2">
      <c r="B2291" s="129"/>
      <c r="C2291" s="146" t="s">
        <v>4291</v>
      </c>
      <c r="D2291" s="147"/>
      <c r="E2291" s="107" t="s">
        <v>3567</v>
      </c>
      <c r="F2291" s="14">
        <f t="shared" si="177"/>
        <v>3</v>
      </c>
      <c r="G2291" s="148"/>
      <c r="H2291" s="1">
        <f>IF(VALUE(H775)&gt;7,5,IF(AND(VALUE(H775)&gt;5,VALUE(H775)&lt;=7),4,IF(AND(VALUE(H775)&gt;3,VALUE(H775)&lt;=5),3,IF(AND(VALUE(H775)&gt;1,VALUE(H775)&lt;=3),2,IF(VALUE(H775)=1,1,IF(VALUE(H775)=0,0,"CEK KEMBALI INPUTAN"))))))</f>
        <v>3</v>
      </c>
      <c r="I2291" s="173"/>
      <c r="J2291" s="174"/>
      <c r="K2291" s="385"/>
    </row>
    <row r="2292" spans="2:11" s="6" customFormat="1" x14ac:dyDescent="0.2">
      <c r="B2292" s="129"/>
      <c r="C2292" s="146" t="s">
        <v>4291</v>
      </c>
      <c r="D2292" s="147"/>
      <c r="E2292" s="107">
        <f>E2290+1</f>
        <v>2045</v>
      </c>
      <c r="F2292" s="14">
        <f t="shared" si="177"/>
        <v>3</v>
      </c>
      <c r="G2292" s="148"/>
      <c r="H2292" s="1">
        <f>H2291</f>
        <v>3</v>
      </c>
      <c r="I2292" s="173"/>
      <c r="J2292" s="174"/>
      <c r="K2292" s="385"/>
    </row>
    <row r="2293" spans="2:11" s="6" customFormat="1" x14ac:dyDescent="0.2">
      <c r="B2293" s="129"/>
      <c r="C2293" s="146" t="s">
        <v>4292</v>
      </c>
      <c r="D2293" s="147"/>
      <c r="E2293" s="107" t="s">
        <v>3567</v>
      </c>
      <c r="F2293" s="14">
        <f t="shared" si="177"/>
        <v>3</v>
      </c>
      <c r="G2293" s="148"/>
      <c r="H2293" s="1">
        <f>IF(VALUE(H766)&gt;7,5,IF(AND(VALUE(H766)&gt;5,VALUE(H766)&lt;=7),4,IF(AND(VALUE(H766)&gt;3,VALUE(H766)&lt;=5),3,IF(AND(VALUE(H766)&gt;1,VALUE(H766)&lt;=3),2,IF(VALUE(H766)=1,1,IF(VALUE(H766)=0,0,0))))))</f>
        <v>3</v>
      </c>
      <c r="I2293" s="173"/>
      <c r="J2293" s="174"/>
      <c r="K2293" s="385"/>
    </row>
    <row r="2294" spans="2:11" s="6" customFormat="1" x14ac:dyDescent="0.2">
      <c r="B2294" s="129"/>
      <c r="C2294" s="146" t="s">
        <v>4292</v>
      </c>
      <c r="D2294" s="147"/>
      <c r="E2294" s="107">
        <f>E2292+1</f>
        <v>2046</v>
      </c>
      <c r="F2294" s="14">
        <f t="shared" si="177"/>
        <v>3</v>
      </c>
      <c r="G2294" s="148"/>
      <c r="H2294" s="1">
        <f>H2293</f>
        <v>3</v>
      </c>
      <c r="I2294" s="173"/>
      <c r="J2294" s="174"/>
      <c r="K2294" s="385"/>
    </row>
    <row r="2295" spans="2:11" s="6" customFormat="1" x14ac:dyDescent="0.2">
      <c r="B2295" s="129"/>
      <c r="C2295" s="149" t="s">
        <v>4293</v>
      </c>
      <c r="D2295" s="147"/>
      <c r="E2295" s="107" t="s">
        <v>3564</v>
      </c>
      <c r="F2295" s="14">
        <f t="shared" si="177"/>
        <v>1</v>
      </c>
      <c r="G2295" s="148"/>
      <c r="H2295" s="1">
        <f t="shared" ref="H2295:H2301" si="178">VALUE(H778)</f>
        <v>1</v>
      </c>
      <c r="I2295" s="173"/>
      <c r="J2295" s="174"/>
      <c r="K2295" s="385"/>
    </row>
    <row r="2296" spans="2:11" s="6" customFormat="1" x14ac:dyDescent="0.2">
      <c r="B2296" s="129"/>
      <c r="C2296" s="149" t="s">
        <v>4294</v>
      </c>
      <c r="D2296" s="147"/>
      <c r="E2296" s="107" t="s">
        <v>3564</v>
      </c>
      <c r="F2296" s="14">
        <f t="shared" si="177"/>
        <v>1</v>
      </c>
      <c r="G2296" s="148"/>
      <c r="H2296" s="1">
        <f t="shared" si="178"/>
        <v>1</v>
      </c>
      <c r="I2296" s="173"/>
      <c r="J2296" s="174"/>
      <c r="K2296" s="385"/>
    </row>
    <row r="2297" spans="2:11" s="6" customFormat="1" x14ac:dyDescent="0.2">
      <c r="B2297" s="129"/>
      <c r="C2297" s="149" t="s">
        <v>4295</v>
      </c>
      <c r="D2297" s="147"/>
      <c r="E2297" s="107" t="s">
        <v>3564</v>
      </c>
      <c r="F2297" s="14">
        <f t="shared" si="177"/>
        <v>1</v>
      </c>
      <c r="G2297" s="148"/>
      <c r="H2297" s="1">
        <f t="shared" si="178"/>
        <v>1</v>
      </c>
      <c r="I2297" s="173"/>
      <c r="J2297" s="174"/>
      <c r="K2297" s="385"/>
    </row>
    <row r="2298" spans="2:11" s="6" customFormat="1" x14ac:dyDescent="0.2">
      <c r="B2298" s="129"/>
      <c r="C2298" s="149" t="s">
        <v>4296</v>
      </c>
      <c r="D2298" s="147"/>
      <c r="E2298" s="107" t="s">
        <v>3564</v>
      </c>
      <c r="F2298" s="14">
        <f t="shared" si="177"/>
        <v>0</v>
      </c>
      <c r="G2298" s="148"/>
      <c r="H2298" s="1">
        <f t="shared" si="178"/>
        <v>0</v>
      </c>
      <c r="I2298" s="173"/>
      <c r="J2298" s="174"/>
      <c r="K2298" s="385"/>
    </row>
    <row r="2299" spans="2:11" s="6" customFormat="1" x14ac:dyDescent="0.2">
      <c r="B2299" s="129"/>
      <c r="C2299" s="149" t="s">
        <v>4297</v>
      </c>
      <c r="D2299" s="147"/>
      <c r="E2299" s="107" t="s">
        <v>3564</v>
      </c>
      <c r="F2299" s="14">
        <f t="shared" si="177"/>
        <v>0</v>
      </c>
      <c r="G2299" s="148"/>
      <c r="H2299" s="1">
        <f t="shared" si="178"/>
        <v>0</v>
      </c>
      <c r="I2299" s="173"/>
      <c r="J2299" s="174"/>
      <c r="K2299" s="385"/>
    </row>
    <row r="2300" spans="2:11" s="6" customFormat="1" x14ac:dyDescent="0.2">
      <c r="B2300" s="129"/>
      <c r="C2300" s="149" t="s">
        <v>4298</v>
      </c>
      <c r="D2300" s="147"/>
      <c r="E2300" s="107" t="s">
        <v>3564</v>
      </c>
      <c r="F2300" s="14">
        <f t="shared" si="177"/>
        <v>0</v>
      </c>
      <c r="G2300" s="148"/>
      <c r="H2300" s="1">
        <f t="shared" si="178"/>
        <v>0</v>
      </c>
      <c r="I2300" s="173"/>
      <c r="J2300" s="174"/>
      <c r="K2300" s="385"/>
    </row>
    <row r="2301" spans="2:11" s="6" customFormat="1" x14ac:dyDescent="0.2">
      <c r="B2301" s="129"/>
      <c r="C2301" s="149" t="s">
        <v>4299</v>
      </c>
      <c r="D2301" s="147"/>
      <c r="E2301" s="107" t="s">
        <v>3564</v>
      </c>
      <c r="F2301" s="14">
        <f t="shared" si="177"/>
        <v>0</v>
      </c>
      <c r="G2301" s="148"/>
      <c r="H2301" s="1">
        <f t="shared" si="178"/>
        <v>0</v>
      </c>
      <c r="I2301" s="173"/>
      <c r="J2301" s="174"/>
      <c r="K2301" s="385"/>
    </row>
    <row r="2302" spans="2:11" s="6" customFormat="1" x14ac:dyDescent="0.2">
      <c r="B2302" s="129"/>
      <c r="C2302" s="149" t="s">
        <v>4300</v>
      </c>
      <c r="D2302" s="147"/>
      <c r="E2302" s="107" t="s">
        <v>3564</v>
      </c>
      <c r="F2302" s="14">
        <f t="shared" si="177"/>
        <v>3</v>
      </c>
      <c r="G2302" s="148"/>
      <c r="H2302" s="1">
        <f>SUM(H2295:H2301)</f>
        <v>3</v>
      </c>
      <c r="I2302" s="173"/>
      <c r="J2302" s="174"/>
      <c r="K2302" s="385"/>
    </row>
    <row r="2303" spans="2:11" s="6" customFormat="1" x14ac:dyDescent="0.2">
      <c r="B2303" s="129"/>
      <c r="C2303" s="146" t="s">
        <v>4301</v>
      </c>
      <c r="D2303" s="147"/>
      <c r="E2303" s="107" t="s">
        <v>3567</v>
      </c>
      <c r="F2303" s="14">
        <f t="shared" si="177"/>
        <v>5</v>
      </c>
      <c r="G2303" s="148"/>
      <c r="H2303" s="1">
        <f>IF(VALUE(H2302)&gt;1,5,1)</f>
        <v>5</v>
      </c>
      <c r="I2303" s="173"/>
      <c r="J2303" s="174"/>
      <c r="K2303" s="385"/>
    </row>
    <row r="2304" spans="2:11" s="6" customFormat="1" x14ac:dyDescent="0.2">
      <c r="B2304" s="129"/>
      <c r="C2304" s="146" t="s">
        <v>4301</v>
      </c>
      <c r="D2304" s="147"/>
      <c r="E2304" s="107">
        <f>E2294+1</f>
        <v>2047</v>
      </c>
      <c r="F2304" s="14">
        <f t="shared" si="177"/>
        <v>5</v>
      </c>
      <c r="G2304" s="148"/>
      <c r="H2304" s="1">
        <f>H2303</f>
        <v>5</v>
      </c>
      <c r="I2304" s="173"/>
      <c r="J2304" s="174"/>
      <c r="K2304" s="385"/>
    </row>
    <row r="2305" spans="2:11" s="6" customFormat="1" x14ac:dyDescent="0.2">
      <c r="B2305" s="129"/>
      <c r="C2305" s="146" t="s">
        <v>4302</v>
      </c>
      <c r="D2305" s="147"/>
      <c r="E2305" s="107" t="s">
        <v>3567</v>
      </c>
      <c r="F2305" s="14">
        <f t="shared" si="177"/>
        <v>5</v>
      </c>
      <c r="G2305" s="148"/>
      <c r="H2305" s="1">
        <f>IF(VALUE(H777)&gt;1,5,1)</f>
        <v>5</v>
      </c>
      <c r="I2305" s="173"/>
      <c r="J2305" s="174"/>
      <c r="K2305" s="385"/>
    </row>
    <row r="2306" spans="2:11" s="6" customFormat="1" x14ac:dyDescent="0.2">
      <c r="B2306" s="129"/>
      <c r="C2306" s="146" t="s">
        <v>4302</v>
      </c>
      <c r="D2306" s="147"/>
      <c r="E2306" s="107">
        <f>E2304+1</f>
        <v>2048</v>
      </c>
      <c r="F2306" s="14">
        <f t="shared" si="177"/>
        <v>5</v>
      </c>
      <c r="G2306" s="148"/>
      <c r="H2306" s="1">
        <f>H2305</f>
        <v>5</v>
      </c>
      <c r="I2306" s="173"/>
      <c r="J2306" s="174"/>
      <c r="K2306" s="385"/>
    </row>
    <row r="2307" spans="2:11" s="6" customFormat="1" x14ac:dyDescent="0.2">
      <c r="B2307" s="129"/>
      <c r="C2307" s="146" t="s">
        <v>4303</v>
      </c>
      <c r="D2307" s="147"/>
      <c r="E2307" s="107" t="s">
        <v>3567</v>
      </c>
      <c r="F2307" s="14">
        <f t="shared" si="177"/>
        <v>5</v>
      </c>
      <c r="G2307" s="148"/>
      <c r="H2307" s="1">
        <f>IF(VALUE(H776)&gt;1,5,1)</f>
        <v>5</v>
      </c>
      <c r="I2307" s="173"/>
      <c r="J2307" s="174"/>
      <c r="K2307" s="385"/>
    </row>
    <row r="2308" spans="2:11" s="6" customFormat="1" x14ac:dyDescent="0.2">
      <c r="B2308" s="129"/>
      <c r="C2308" s="146" t="s">
        <v>4303</v>
      </c>
      <c r="D2308" s="147"/>
      <c r="E2308" s="107">
        <f>E2306+1</f>
        <v>2049</v>
      </c>
      <c r="F2308" s="14">
        <f t="shared" si="177"/>
        <v>5</v>
      </c>
      <c r="G2308" s="148"/>
      <c r="H2308" s="1">
        <f>H2307</f>
        <v>5</v>
      </c>
      <c r="I2308" s="173"/>
      <c r="J2308" s="174"/>
      <c r="K2308" s="385"/>
    </row>
    <row r="2309" spans="2:11" s="6" customFormat="1" x14ac:dyDescent="0.2">
      <c r="B2309" s="129"/>
      <c r="C2309" s="146" t="s">
        <v>1721</v>
      </c>
      <c r="D2309" s="147"/>
      <c r="E2309" s="107" t="s">
        <v>3567</v>
      </c>
      <c r="F2309" s="14">
        <f t="shared" si="177"/>
        <v>5</v>
      </c>
      <c r="G2309" s="148"/>
      <c r="H2309" s="1">
        <f>IF(VALUE(H802)=1,5,1)</f>
        <v>5</v>
      </c>
      <c r="I2309" s="173"/>
      <c r="J2309" s="174"/>
      <c r="K2309" s="385"/>
    </row>
    <row r="2310" spans="2:11" s="6" customFormat="1" x14ac:dyDescent="0.2">
      <c r="B2310" s="129"/>
      <c r="C2310" s="146" t="s">
        <v>1721</v>
      </c>
      <c r="D2310" s="147"/>
      <c r="E2310" s="107">
        <f>E2308+1</f>
        <v>2050</v>
      </c>
      <c r="F2310" s="14">
        <f t="shared" si="177"/>
        <v>5</v>
      </c>
      <c r="G2310" s="148"/>
      <c r="H2310" s="1">
        <f>H2309</f>
        <v>5</v>
      </c>
      <c r="I2310" s="173"/>
      <c r="J2310" s="174"/>
      <c r="K2310" s="385"/>
    </row>
    <row r="2311" spans="2:11" s="6" customFormat="1" x14ac:dyDescent="0.2">
      <c r="B2311" s="129"/>
      <c r="C2311" s="146" t="s">
        <v>4304</v>
      </c>
      <c r="D2311" s="147"/>
      <c r="E2311" s="107" t="s">
        <v>3567</v>
      </c>
      <c r="F2311" s="14">
        <f t="shared" si="177"/>
        <v>5</v>
      </c>
      <c r="G2311" s="148"/>
      <c r="H2311" s="1">
        <f>IF(VALUE(H803)=1,5,1)</f>
        <v>5</v>
      </c>
      <c r="I2311" s="173"/>
      <c r="J2311" s="174"/>
      <c r="K2311" s="385"/>
    </row>
    <row r="2312" spans="2:11" s="6" customFormat="1" x14ac:dyDescent="0.2">
      <c r="B2312" s="129"/>
      <c r="C2312" s="146" t="s">
        <v>4304</v>
      </c>
      <c r="D2312" s="147"/>
      <c r="E2312" s="107">
        <f>E2310+1</f>
        <v>2051</v>
      </c>
      <c r="F2312" s="14">
        <f t="shared" si="177"/>
        <v>5</v>
      </c>
      <c r="G2312" s="148"/>
      <c r="H2312" s="1">
        <f>H2311</f>
        <v>5</v>
      </c>
      <c r="I2312" s="173"/>
      <c r="J2312" s="174"/>
      <c r="K2312" s="385"/>
    </row>
    <row r="2313" spans="2:11" s="6" customFormat="1" x14ac:dyDescent="0.2">
      <c r="B2313" s="129"/>
      <c r="C2313" s="146" t="s">
        <v>1726</v>
      </c>
      <c r="D2313" s="147"/>
      <c r="E2313" s="107" t="s">
        <v>3567</v>
      </c>
      <c r="F2313" s="14">
        <f t="shared" si="177"/>
        <v>1</v>
      </c>
      <c r="G2313" s="148"/>
      <c r="H2313" s="1">
        <f>IF(VALUE(H804)=0,5,1)</f>
        <v>1</v>
      </c>
      <c r="I2313" s="173"/>
      <c r="J2313" s="174"/>
      <c r="K2313" s="385"/>
    </row>
    <row r="2314" spans="2:11" s="6" customFormat="1" x14ac:dyDescent="0.2">
      <c r="B2314" s="129"/>
      <c r="C2314" s="146" t="s">
        <v>1726</v>
      </c>
      <c r="D2314" s="147"/>
      <c r="E2314" s="107">
        <f>E2312+1</f>
        <v>2052</v>
      </c>
      <c r="F2314" s="14">
        <f t="shared" si="177"/>
        <v>1</v>
      </c>
      <c r="G2314" s="148"/>
      <c r="H2314" s="1">
        <f>H2313</f>
        <v>1</v>
      </c>
      <c r="I2314" s="173"/>
      <c r="J2314" s="174"/>
      <c r="K2314" s="385"/>
    </row>
    <row r="2315" spans="2:11" s="6" customFormat="1" x14ac:dyDescent="0.2">
      <c r="B2315" s="129"/>
      <c r="C2315" s="149" t="s">
        <v>4305</v>
      </c>
      <c r="D2315" s="147"/>
      <c r="E2315" s="107" t="s">
        <v>3564</v>
      </c>
      <c r="F2315" s="14">
        <f t="shared" si="177"/>
        <v>2</v>
      </c>
      <c r="G2315" s="148"/>
      <c r="H2315" s="1">
        <f>VALUE(H855)+VALUE(H856)+VALUE(H857)+VALUE(H858)+VALUE(H859)+VALUE(H860)+VALUE(H861)+VALUE(H862)+VALUE(H863)</f>
        <v>2</v>
      </c>
      <c r="I2315" s="173"/>
      <c r="J2315" s="174"/>
      <c r="K2315" s="385"/>
    </row>
    <row r="2316" spans="2:11" s="6" customFormat="1" x14ac:dyDescent="0.2">
      <c r="B2316" s="129"/>
      <c r="C2316" s="146" t="s">
        <v>1833</v>
      </c>
      <c r="D2316" s="147"/>
      <c r="E2316" s="107" t="s">
        <v>3567</v>
      </c>
      <c r="F2316" s="14">
        <f t="shared" si="177"/>
        <v>3</v>
      </c>
      <c r="G2316" s="148"/>
      <c r="H2316" s="1">
        <f>IF(H2315=0,5,IF(H2315=1,4,IF(H2315=2,3,IF(H2315&gt;2,2,"CEK KEMBALI INPUTAN"))))</f>
        <v>3</v>
      </c>
      <c r="I2316" s="173"/>
      <c r="J2316" s="174"/>
      <c r="K2316" s="385"/>
    </row>
    <row r="2317" spans="2:11" s="6" customFormat="1" x14ac:dyDescent="0.2">
      <c r="B2317" s="129"/>
      <c r="C2317" s="146" t="s">
        <v>1833</v>
      </c>
      <c r="D2317" s="147"/>
      <c r="E2317" s="107">
        <f>E2314+1</f>
        <v>2053</v>
      </c>
      <c r="F2317" s="14">
        <f t="shared" si="177"/>
        <v>3</v>
      </c>
      <c r="G2317" s="148"/>
      <c r="H2317" s="1">
        <f>H2316</f>
        <v>3</v>
      </c>
      <c r="I2317" s="173"/>
      <c r="J2317" s="174"/>
      <c r="K2317" s="385"/>
    </row>
    <row r="2318" spans="2:11" s="6" customFormat="1" x14ac:dyDescent="0.2">
      <c r="B2318" s="129"/>
      <c r="C2318" s="149" t="s">
        <v>4306</v>
      </c>
      <c r="D2318" s="147"/>
      <c r="E2318" s="107" t="s">
        <v>3564</v>
      </c>
      <c r="F2318" s="14">
        <f t="shared" si="177"/>
        <v>0</v>
      </c>
      <c r="G2318" s="148"/>
      <c r="H2318" s="1">
        <f>VALUE(H841)</f>
        <v>0</v>
      </c>
      <c r="I2318" s="173"/>
      <c r="J2318" s="174"/>
      <c r="K2318" s="385"/>
    </row>
    <row r="2319" spans="2:11" s="6" customFormat="1" x14ac:dyDescent="0.2">
      <c r="B2319" s="129"/>
      <c r="C2319" s="146" t="s">
        <v>1803</v>
      </c>
      <c r="D2319" s="147"/>
      <c r="E2319" s="107" t="s">
        <v>3567</v>
      </c>
      <c r="F2319" s="14">
        <f t="shared" ref="F2319:F2350" si="179">H2319</f>
        <v>3</v>
      </c>
      <c r="G2319" s="148"/>
      <c r="H2319" s="1">
        <f>IF(VALUE(H841)&gt;0,5,3)</f>
        <v>3</v>
      </c>
      <c r="I2319" s="173"/>
      <c r="J2319" s="174"/>
      <c r="K2319" s="385"/>
    </row>
    <row r="2320" spans="2:11" s="6" customFormat="1" x14ac:dyDescent="0.2">
      <c r="B2320" s="129"/>
      <c r="C2320" s="146" t="s">
        <v>1803</v>
      </c>
      <c r="D2320" s="147"/>
      <c r="E2320" s="107">
        <f>E2317+1</f>
        <v>2054</v>
      </c>
      <c r="F2320" s="14">
        <f t="shared" si="179"/>
        <v>3</v>
      </c>
      <c r="G2320" s="148"/>
      <c r="H2320" s="1">
        <f>H2319</f>
        <v>3</v>
      </c>
      <c r="I2320" s="173"/>
      <c r="J2320" s="174"/>
      <c r="K2320" s="385"/>
    </row>
    <row r="2321" spans="2:11" s="6" customFormat="1" x14ac:dyDescent="0.2">
      <c r="B2321" s="129"/>
      <c r="C2321" s="149" t="s">
        <v>4307</v>
      </c>
      <c r="D2321" s="147"/>
      <c r="E2321" s="107" t="s">
        <v>3564</v>
      </c>
      <c r="F2321" s="14">
        <f t="shared" si="179"/>
        <v>1</v>
      </c>
      <c r="G2321" s="148"/>
      <c r="H2321" s="1">
        <f>IF((VALUE(H914)+VALUE(H915)+VALUE(H916))=0,0,((VALUE(H914)+VALUE(H915))/(VALUE(H499))))</f>
        <v>1</v>
      </c>
      <c r="I2321" s="173"/>
      <c r="J2321" s="174"/>
      <c r="K2321" s="385"/>
    </row>
    <row r="2322" spans="2:11" s="6" customFormat="1" x14ac:dyDescent="0.2">
      <c r="B2322" s="129"/>
      <c r="C2322" s="146" t="s">
        <v>1956</v>
      </c>
      <c r="D2322" s="147"/>
      <c r="E2322" s="107" t="s">
        <v>3567</v>
      </c>
      <c r="F2322" s="14">
        <f t="shared" si="179"/>
        <v>5</v>
      </c>
      <c r="G2322" s="148"/>
      <c r="H2322" s="1">
        <f>IF(AND(H2321&gt;=0.9,H2321&lt;=1),5,IF(AND(H2321&gt;=0.8,H2321&lt;0.9),4,IF(AND(H2321&gt;=0.6,H2321&lt;0.8),3,IF(AND(H2321&gt;=0.5,H2321&lt;0.6),2,IF(H2321&lt;0.5,1,"CEK KEMBALI INPUTAN")))))</f>
        <v>5</v>
      </c>
      <c r="I2322" s="173"/>
      <c r="J2322" s="174"/>
      <c r="K2322" s="385"/>
    </row>
    <row r="2323" spans="2:11" s="6" customFormat="1" x14ac:dyDescent="0.2">
      <c r="B2323" s="129"/>
      <c r="C2323" s="146" t="s">
        <v>1956</v>
      </c>
      <c r="D2323" s="147"/>
      <c r="E2323" s="107">
        <f>E2320+1</f>
        <v>2055</v>
      </c>
      <c r="F2323" s="14">
        <f t="shared" si="179"/>
        <v>5</v>
      </c>
      <c r="G2323" s="148"/>
      <c r="H2323" s="1">
        <f>H2322</f>
        <v>5</v>
      </c>
      <c r="I2323" s="173"/>
      <c r="J2323" s="174"/>
      <c r="K2323" s="385"/>
    </row>
    <row r="2324" spans="2:11" s="6" customFormat="1" x14ac:dyDescent="0.2">
      <c r="B2324" s="129"/>
      <c r="C2324" s="146" t="s">
        <v>1995</v>
      </c>
      <c r="D2324" s="147"/>
      <c r="E2324" s="107" t="s">
        <v>3567</v>
      </c>
      <c r="F2324" s="14">
        <f t="shared" si="179"/>
        <v>5</v>
      </c>
      <c r="G2324" s="148"/>
      <c r="H2324" s="1">
        <f>IF(VALUE(H931)=1,5,IF(VALUE(H931)=2,3,IF(VALUE(H931)=0,0,0)))</f>
        <v>5</v>
      </c>
      <c r="I2324" s="173"/>
      <c r="J2324" s="174"/>
      <c r="K2324" s="385"/>
    </row>
    <row r="2325" spans="2:11" s="6" customFormat="1" x14ac:dyDescent="0.2">
      <c r="B2325" s="129"/>
      <c r="C2325" s="146" t="s">
        <v>1995</v>
      </c>
      <c r="D2325" s="147"/>
      <c r="E2325" s="107">
        <f>E2323+1</f>
        <v>2056</v>
      </c>
      <c r="F2325" s="14">
        <f t="shared" si="179"/>
        <v>5</v>
      </c>
      <c r="G2325" s="148"/>
      <c r="H2325" s="1">
        <f>H2324</f>
        <v>5</v>
      </c>
      <c r="I2325" s="173"/>
      <c r="J2325" s="174"/>
      <c r="K2325" s="385"/>
    </row>
    <row r="2326" spans="2:11" s="6" customFormat="1" x14ac:dyDescent="0.2">
      <c r="B2326" s="129"/>
      <c r="C2326" s="146" t="s">
        <v>4308</v>
      </c>
      <c r="D2326" s="147"/>
      <c r="E2326" s="107" t="s">
        <v>3567</v>
      </c>
      <c r="F2326" s="14">
        <f t="shared" si="179"/>
        <v>5</v>
      </c>
      <c r="G2326" s="148"/>
      <c r="H2326" s="1">
        <f>IF(VALUE(H944)=1,5,1)</f>
        <v>5</v>
      </c>
      <c r="I2326" s="173"/>
      <c r="J2326" s="174"/>
      <c r="K2326" s="385"/>
    </row>
    <row r="2327" spans="2:11" s="6" customFormat="1" x14ac:dyDescent="0.2">
      <c r="B2327" s="129"/>
      <c r="C2327" s="146" t="s">
        <v>4308</v>
      </c>
      <c r="D2327" s="147"/>
      <c r="E2327" s="107">
        <f>E2325+1</f>
        <v>2057</v>
      </c>
      <c r="F2327" s="14">
        <f t="shared" si="179"/>
        <v>5</v>
      </c>
      <c r="G2327" s="148"/>
      <c r="H2327" s="1">
        <f>H2326</f>
        <v>5</v>
      </c>
      <c r="I2327" s="173"/>
      <c r="J2327" s="174"/>
      <c r="K2327" s="385"/>
    </row>
    <row r="2328" spans="2:11" s="6" customFormat="1" x14ac:dyDescent="0.2">
      <c r="B2328" s="129"/>
      <c r="C2328" s="146" t="s">
        <v>2047</v>
      </c>
      <c r="D2328" s="147"/>
      <c r="E2328" s="107" t="s">
        <v>3567</v>
      </c>
      <c r="F2328" s="14">
        <f t="shared" si="179"/>
        <v>5</v>
      </c>
      <c r="G2328" s="148"/>
      <c r="H2328" s="1">
        <f>IF(VALUE(H948)=1,5,1)</f>
        <v>5</v>
      </c>
      <c r="I2328" s="173"/>
      <c r="J2328" s="174"/>
      <c r="K2328" s="385"/>
    </row>
    <row r="2329" spans="2:11" s="6" customFormat="1" x14ac:dyDescent="0.2">
      <c r="B2329" s="129"/>
      <c r="C2329" s="146" t="s">
        <v>2047</v>
      </c>
      <c r="D2329" s="147"/>
      <c r="E2329" s="107">
        <f>E2327+1</f>
        <v>2058</v>
      </c>
      <c r="F2329" s="14">
        <f t="shared" si="179"/>
        <v>5</v>
      </c>
      <c r="G2329" s="148"/>
      <c r="H2329" s="1">
        <f>H2328</f>
        <v>5</v>
      </c>
      <c r="I2329" s="173"/>
      <c r="J2329" s="174"/>
      <c r="K2329" s="385"/>
    </row>
    <row r="2330" spans="2:11" s="6" customFormat="1" x14ac:dyDescent="0.2">
      <c r="B2330" s="129"/>
      <c r="C2330" s="146" t="s">
        <v>1935</v>
      </c>
      <c r="D2330" s="147"/>
      <c r="E2330" s="107" t="s">
        <v>3567</v>
      </c>
      <c r="F2330" s="14">
        <f t="shared" si="179"/>
        <v>5</v>
      </c>
      <c r="G2330" s="148"/>
      <c r="H2330" s="1">
        <f>IF(VALUE(H905)=1,5,IF(VALUE(H905)=2,4,IF(VALUE(H905)=3,3,IF(VALUE(H905)=4,0,0))))</f>
        <v>5</v>
      </c>
      <c r="I2330" s="173"/>
      <c r="J2330" s="174"/>
      <c r="K2330" s="385"/>
    </row>
    <row r="2331" spans="2:11" s="6" customFormat="1" x14ac:dyDescent="0.2">
      <c r="B2331" s="129"/>
      <c r="C2331" s="146" t="s">
        <v>1935</v>
      </c>
      <c r="D2331" s="147"/>
      <c r="E2331" s="107">
        <f>E2329+1</f>
        <v>2059</v>
      </c>
      <c r="F2331" s="14">
        <f t="shared" si="179"/>
        <v>5</v>
      </c>
      <c r="G2331" s="148"/>
      <c r="H2331" s="1">
        <f>H2330</f>
        <v>5</v>
      </c>
      <c r="I2331" s="173"/>
      <c r="J2331" s="174"/>
      <c r="K2331" s="385"/>
    </row>
    <row r="2332" spans="2:11" s="6" customFormat="1" x14ac:dyDescent="0.2">
      <c r="B2332" s="129"/>
      <c r="C2332" s="146" t="s">
        <v>1948</v>
      </c>
      <c r="D2332" s="147"/>
      <c r="E2332" s="107" t="s">
        <v>3567</v>
      </c>
      <c r="F2332" s="14">
        <f t="shared" si="179"/>
        <v>5</v>
      </c>
      <c r="G2332" s="148"/>
      <c r="H2332" s="1">
        <f>IF(VALUE(H910)=1,5,IF(VALUE(H910)=2,4,IF(VALUE(H910)=3,1,0)))</f>
        <v>5</v>
      </c>
      <c r="I2332" s="173"/>
      <c r="J2332" s="174"/>
      <c r="K2332" s="385"/>
    </row>
    <row r="2333" spans="2:11" s="6" customFormat="1" x14ac:dyDescent="0.2">
      <c r="B2333" s="129"/>
      <c r="C2333" s="146" t="s">
        <v>1948</v>
      </c>
      <c r="D2333" s="147"/>
      <c r="E2333" s="107">
        <f>E2331+1</f>
        <v>2060</v>
      </c>
      <c r="F2333" s="14">
        <f t="shared" si="179"/>
        <v>5</v>
      </c>
      <c r="G2333" s="148"/>
      <c r="H2333" s="1">
        <f>H2332</f>
        <v>5</v>
      </c>
      <c r="I2333" s="173"/>
      <c r="J2333" s="174"/>
      <c r="K2333" s="385"/>
    </row>
    <row r="2334" spans="2:11" s="6" customFormat="1" x14ac:dyDescent="0.2">
      <c r="B2334" s="129"/>
      <c r="C2334" s="146" t="s">
        <v>1894</v>
      </c>
      <c r="D2334" s="147"/>
      <c r="E2334" s="107" t="s">
        <v>3567</v>
      </c>
      <c r="F2334" s="14">
        <f t="shared" si="179"/>
        <v>5</v>
      </c>
      <c r="G2334" s="151"/>
      <c r="H2334" s="1">
        <f>IF(OR(VALUE(H885)=1,VALUE(H886)=1),5,IF(OR(VALUE(H887)=1,VALUE(H888)=1),4,IF(OR(VALUE(H884)=1,VALUE(H889)=1),3,IF(OR(VALUE(H890)=1,VALUE(H891)=1),2,1))))</f>
        <v>5</v>
      </c>
      <c r="I2334" s="173"/>
      <c r="J2334" s="174"/>
      <c r="K2334" s="385"/>
    </row>
    <row r="2335" spans="2:11" s="6" customFormat="1" x14ac:dyDescent="0.2">
      <c r="B2335" s="129"/>
      <c r="C2335" s="146" t="s">
        <v>1894</v>
      </c>
      <c r="D2335" s="147"/>
      <c r="E2335" s="107">
        <f>E2333+1</f>
        <v>2061</v>
      </c>
      <c r="F2335" s="14">
        <f t="shared" si="179"/>
        <v>5</v>
      </c>
      <c r="G2335" s="148"/>
      <c r="H2335" s="1">
        <f>H2334</f>
        <v>5</v>
      </c>
      <c r="I2335" s="173"/>
      <c r="J2335" s="174"/>
      <c r="K2335" s="385"/>
    </row>
    <row r="2336" spans="2:11" s="6" customFormat="1" x14ac:dyDescent="0.2">
      <c r="B2336" s="129"/>
      <c r="C2336" s="146" t="s">
        <v>1916</v>
      </c>
      <c r="D2336" s="147"/>
      <c r="E2336" s="107" t="s">
        <v>3567</v>
      </c>
      <c r="F2336" s="14">
        <f t="shared" si="179"/>
        <v>5</v>
      </c>
      <c r="G2336" s="151"/>
      <c r="H2336" s="1">
        <f>IF(OR(VALUE(H895)=1,VALUE(H896)=1),5,IF(OR(VALUE(H897)=1,VALUE(H898)=1),4,IF(OR(VALUE(H899)=1),3,IF(OR(VALUE(H900)=1,VALUE(H901)=1),2,1))))</f>
        <v>5</v>
      </c>
      <c r="I2336" s="173"/>
      <c r="J2336" s="174"/>
      <c r="K2336" s="385"/>
    </row>
    <row r="2337" spans="2:11" s="6" customFormat="1" x14ac:dyDescent="0.2">
      <c r="B2337" s="129"/>
      <c r="C2337" s="146" t="s">
        <v>1916</v>
      </c>
      <c r="D2337" s="152"/>
      <c r="E2337" s="107">
        <f>E2335+1</f>
        <v>2062</v>
      </c>
      <c r="F2337" s="14">
        <f t="shared" si="179"/>
        <v>5</v>
      </c>
      <c r="G2337" s="148"/>
      <c r="H2337" s="1">
        <f>H2336</f>
        <v>5</v>
      </c>
      <c r="I2337" s="173"/>
      <c r="J2337" s="174"/>
      <c r="K2337" s="385"/>
    </row>
    <row r="2338" spans="2:11" s="6" customFormat="1" x14ac:dyDescent="0.25">
      <c r="B2338" s="129"/>
      <c r="C2338" s="153" t="s">
        <v>4309</v>
      </c>
      <c r="D2338" s="154"/>
      <c r="E2338" s="107" t="s">
        <v>3567</v>
      </c>
      <c r="F2338" s="14">
        <f t="shared" si="179"/>
        <v>148</v>
      </c>
      <c r="G2338" s="155"/>
      <c r="H2338" s="1">
        <f>IFERROR(VALUE(H2255+H2257+H2259+H2261+H2264+H2266+H2269+H2271+H2273+H2275+H2277+H2279+H2281+H2283+H2285+H2287+H2289+H2291+H2293+H2303+H2305+H2307+H2309+H2311+H2313+H2316+H2319+H2322+H2324+H2326+H2328+H2330+H2332+H2334+H2336),"Cek Kembali")</f>
        <v>148</v>
      </c>
      <c r="I2338" s="173"/>
      <c r="J2338" s="174"/>
      <c r="K2338" s="385"/>
    </row>
    <row r="2339" spans="2:11" s="6" customFormat="1" x14ac:dyDescent="0.25">
      <c r="B2339" s="129"/>
      <c r="C2339" s="153" t="s">
        <v>4310</v>
      </c>
      <c r="D2339" s="154"/>
      <c r="E2339" s="107" t="s">
        <v>3567</v>
      </c>
      <c r="F2339" s="14">
        <f t="shared" si="179"/>
        <v>0.84571428571428997</v>
      </c>
      <c r="G2339" s="155"/>
      <c r="H2339" s="150">
        <f>IFERROR(VALUE(H2338/175),"Cek Kembali")</f>
        <v>0.84571428571428997</v>
      </c>
      <c r="I2339" s="173"/>
      <c r="J2339" s="174"/>
      <c r="K2339" s="385"/>
    </row>
    <row r="2340" spans="2:11" s="6" customFormat="1" x14ac:dyDescent="0.25">
      <c r="B2340" s="129"/>
      <c r="C2340" s="153" t="s">
        <v>4310</v>
      </c>
      <c r="D2340" s="154"/>
      <c r="E2340" s="107">
        <f>E2337+1</f>
        <v>2063</v>
      </c>
      <c r="F2340" s="156">
        <f t="shared" si="179"/>
        <v>0.84571428571428997</v>
      </c>
      <c r="G2340" s="155"/>
      <c r="H2340" s="150">
        <f>H2339</f>
        <v>0.84571428571428997</v>
      </c>
      <c r="I2340" s="173"/>
      <c r="J2340" s="174"/>
      <c r="K2340" s="385"/>
    </row>
    <row r="2341" spans="2:11" s="6" customFormat="1" x14ac:dyDescent="0.2">
      <c r="B2341" s="129"/>
      <c r="C2341" s="149" t="s">
        <v>4311</v>
      </c>
      <c r="D2341" s="147"/>
      <c r="E2341" s="107" t="s">
        <v>3564</v>
      </c>
      <c r="F2341" s="14">
        <f t="shared" si="179"/>
        <v>0.32518518518519002</v>
      </c>
      <c r="G2341" s="148"/>
      <c r="H2341" s="1">
        <f>IF(VALUE(H1341)=0,0,VALUE(H1341)/VALUE(H499))</f>
        <v>0.32518518518519002</v>
      </c>
      <c r="I2341" s="173"/>
      <c r="J2341" s="174"/>
      <c r="K2341" s="385"/>
    </row>
    <row r="2342" spans="2:11" s="6" customFormat="1" x14ac:dyDescent="0.2">
      <c r="B2342" s="129"/>
      <c r="C2342" s="157" t="s">
        <v>4312</v>
      </c>
      <c r="D2342" s="147"/>
      <c r="E2342" s="107" t="s">
        <v>3567</v>
      </c>
      <c r="F2342" s="14">
        <f t="shared" si="179"/>
        <v>5</v>
      </c>
      <c r="G2342" s="148"/>
      <c r="H2342" s="1">
        <f>IF(H2341&gt;0.003,5,IF(AND(H2341&gt;0,H2341&lt;=0.003),3,IF(H2341=0,1,"CEK KEMBALI INPUTAN ")))</f>
        <v>5</v>
      </c>
      <c r="I2342" s="173"/>
      <c r="J2342" s="174"/>
      <c r="K2342" s="385"/>
    </row>
    <row r="2343" spans="2:11" s="6" customFormat="1" x14ac:dyDescent="0.2">
      <c r="B2343" s="129"/>
      <c r="C2343" s="157" t="s">
        <v>4312</v>
      </c>
      <c r="D2343" s="147"/>
      <c r="E2343" s="107">
        <f>E2340+1</f>
        <v>2064</v>
      </c>
      <c r="F2343" s="14">
        <f t="shared" si="179"/>
        <v>5</v>
      </c>
      <c r="G2343" s="148"/>
      <c r="H2343" s="1">
        <f>H2342</f>
        <v>5</v>
      </c>
      <c r="I2343" s="173"/>
      <c r="J2343" s="174"/>
      <c r="K2343" s="385"/>
    </row>
    <row r="2344" spans="2:11" s="6" customFormat="1" x14ac:dyDescent="0.2">
      <c r="B2344" s="129"/>
      <c r="C2344" s="157" t="s">
        <v>2812</v>
      </c>
      <c r="D2344" s="147"/>
      <c r="E2344" s="107" t="s">
        <v>3567</v>
      </c>
      <c r="F2344" s="14">
        <f t="shared" si="179"/>
        <v>5</v>
      </c>
      <c r="G2344" s="148"/>
      <c r="H2344" s="1">
        <f>IF(AND(VALUE(H1352)&gt;0,VALUE(H1352)&lt;=7000),5,IF(AND(VALUE(H1352)&gt;7000,VALUE(H1352)&lt;=12000),4,IF(AND(VALUE(H1352)&gt;12000,VALUE(H1352)&lt;=17000),3,IF(AND(VALUE(H1352)&gt;17000,VALUE(H1352)&lt;=25000),2,IF(VALUE(H1352)&gt;25000,1,1)))))</f>
        <v>5</v>
      </c>
      <c r="I2344" s="173"/>
      <c r="J2344" s="174"/>
      <c r="K2344" s="385"/>
    </row>
    <row r="2345" spans="2:11" s="6" customFormat="1" x14ac:dyDescent="0.2">
      <c r="B2345" s="129"/>
      <c r="C2345" s="157" t="s">
        <v>2812</v>
      </c>
      <c r="D2345" s="147"/>
      <c r="E2345" s="107">
        <f>E2343+1</f>
        <v>2065</v>
      </c>
      <c r="F2345" s="14">
        <f t="shared" si="179"/>
        <v>5</v>
      </c>
      <c r="G2345" s="148"/>
      <c r="H2345" s="1">
        <f>H2344</f>
        <v>5</v>
      </c>
      <c r="I2345" s="173"/>
      <c r="J2345" s="174"/>
      <c r="K2345" s="385"/>
    </row>
    <row r="2346" spans="2:11" s="6" customFormat="1" x14ac:dyDescent="0.2">
      <c r="B2346" s="129"/>
      <c r="C2346" s="149" t="s">
        <v>4313</v>
      </c>
      <c r="D2346" s="147"/>
      <c r="E2346" s="107" t="s">
        <v>3564</v>
      </c>
      <c r="F2346" s="14">
        <f t="shared" si="179"/>
        <v>1</v>
      </c>
      <c r="G2346" s="148"/>
      <c r="H2346" s="1">
        <f>VALUE(H1353)+VALUE(H1354)</f>
        <v>1</v>
      </c>
      <c r="I2346" s="173"/>
      <c r="J2346" s="174"/>
      <c r="K2346" s="385"/>
    </row>
    <row r="2347" spans="2:11" s="6" customFormat="1" x14ac:dyDescent="0.2">
      <c r="B2347" s="129"/>
      <c r="C2347" s="149" t="s">
        <v>4314</v>
      </c>
      <c r="D2347" s="147"/>
      <c r="E2347" s="107" t="s">
        <v>3564</v>
      </c>
      <c r="F2347" s="14">
        <f t="shared" si="179"/>
        <v>1350</v>
      </c>
      <c r="G2347" s="148"/>
      <c r="H2347" s="1">
        <f>IF(H2346=0,0,VALUE(H499)/VALUE(H2346))</f>
        <v>1350</v>
      </c>
      <c r="I2347" s="173"/>
      <c r="J2347" s="174"/>
      <c r="K2347" s="385"/>
    </row>
    <row r="2348" spans="2:11" s="6" customFormat="1" x14ac:dyDescent="0.2">
      <c r="B2348" s="129"/>
      <c r="C2348" s="157" t="s">
        <v>2816</v>
      </c>
      <c r="D2348" s="147"/>
      <c r="E2348" s="107" t="s">
        <v>3567</v>
      </c>
      <c r="F2348" s="14">
        <f t="shared" si="179"/>
        <v>5</v>
      </c>
      <c r="G2348" s="148"/>
      <c r="H2348" s="1">
        <f>IF(H2347&gt;=250,5,IF(AND(H2347&gt;0,H2347&lt;250),3,IF(H2347=0,1,"CEK")))</f>
        <v>5</v>
      </c>
      <c r="I2348" s="173"/>
      <c r="J2348" s="174"/>
      <c r="K2348" s="385"/>
    </row>
    <row r="2349" spans="2:11" s="6" customFormat="1" x14ac:dyDescent="0.2">
      <c r="B2349" s="129"/>
      <c r="C2349" s="157" t="s">
        <v>2816</v>
      </c>
      <c r="D2349" s="147"/>
      <c r="E2349" s="107">
        <f>E2345+1</f>
        <v>2066</v>
      </c>
      <c r="F2349" s="14">
        <f t="shared" si="179"/>
        <v>5</v>
      </c>
      <c r="G2349" s="148"/>
      <c r="H2349" s="1">
        <f>H2348</f>
        <v>5</v>
      </c>
      <c r="I2349" s="173"/>
      <c r="J2349" s="174"/>
      <c r="K2349" s="385"/>
    </row>
    <row r="2350" spans="2:11" s="6" customFormat="1" x14ac:dyDescent="0.2">
      <c r="B2350" s="129"/>
      <c r="C2350" s="157" t="s">
        <v>4315</v>
      </c>
      <c r="D2350" s="147"/>
      <c r="E2350" s="107" t="s">
        <v>3567</v>
      </c>
      <c r="F2350" s="14">
        <f t="shared" si="179"/>
        <v>5</v>
      </c>
      <c r="G2350" s="148"/>
      <c r="H2350" s="1">
        <f>IF(VALUE(H1357)&gt;3,5,IF(VALUE(H1357)=3,4,IF(VALUE(H1357)=2,3,IF(VALUE(H1357)=1,2,IF(VALUE(H1357)=0,1,1)))))</f>
        <v>5</v>
      </c>
      <c r="I2350" s="173"/>
      <c r="J2350" s="174"/>
      <c r="K2350" s="385"/>
    </row>
    <row r="2351" spans="2:11" s="6" customFormat="1" x14ac:dyDescent="0.2">
      <c r="B2351" s="129"/>
      <c r="C2351" s="157" t="s">
        <v>4315</v>
      </c>
      <c r="D2351" s="147"/>
      <c r="E2351" s="107">
        <f>E2349+1</f>
        <v>2067</v>
      </c>
      <c r="F2351" s="14">
        <f t="shared" ref="F2351:F2382" si="180">H2351</f>
        <v>5</v>
      </c>
      <c r="G2351" s="148"/>
      <c r="H2351" s="1">
        <f>H2350</f>
        <v>5</v>
      </c>
      <c r="I2351" s="173"/>
      <c r="J2351" s="174"/>
      <c r="K2351" s="385"/>
    </row>
    <row r="2352" spans="2:11" s="6" customFormat="1" x14ac:dyDescent="0.2">
      <c r="B2352" s="129"/>
      <c r="C2352" s="149" t="s">
        <v>4316</v>
      </c>
      <c r="D2352" s="147"/>
      <c r="E2352" s="107" t="s">
        <v>3564</v>
      </c>
      <c r="F2352" s="14">
        <f t="shared" si="180"/>
        <v>2</v>
      </c>
      <c r="G2352" s="148"/>
      <c r="H2352" s="1">
        <f>VALUE(H1358)+VALUE(H1359)</f>
        <v>2</v>
      </c>
      <c r="I2352" s="173"/>
      <c r="J2352" s="174"/>
      <c r="K2352" s="385"/>
    </row>
    <row r="2353" spans="2:11" s="6" customFormat="1" x14ac:dyDescent="0.2">
      <c r="B2353" s="129"/>
      <c r="C2353" s="157" t="s">
        <v>2830</v>
      </c>
      <c r="D2353" s="147"/>
      <c r="E2353" s="107" t="s">
        <v>3567</v>
      </c>
      <c r="F2353" s="14">
        <f t="shared" si="180"/>
        <v>5</v>
      </c>
      <c r="G2353" s="148"/>
      <c r="H2353" s="1">
        <f>IF(H2352&gt;1,5,IF(H2352=1,3,IF(H2352=0,0,"CEK KEMBALI INPUTAN")))</f>
        <v>5</v>
      </c>
      <c r="I2353" s="173"/>
      <c r="J2353" s="174"/>
      <c r="K2353" s="385"/>
    </row>
    <row r="2354" spans="2:11" s="6" customFormat="1" x14ac:dyDescent="0.2">
      <c r="B2354" s="129"/>
      <c r="C2354" s="157" t="s">
        <v>2830</v>
      </c>
      <c r="D2354" s="147"/>
      <c r="E2354" s="107">
        <f>E2351+1</f>
        <v>2068</v>
      </c>
      <c r="F2354" s="14">
        <f t="shared" si="180"/>
        <v>5</v>
      </c>
      <c r="G2354" s="148"/>
      <c r="H2354" s="1">
        <f>H2353</f>
        <v>5</v>
      </c>
      <c r="I2354" s="173"/>
      <c r="J2354" s="174"/>
      <c r="K2354" s="385"/>
    </row>
    <row r="2355" spans="2:11" s="6" customFormat="1" x14ac:dyDescent="0.2">
      <c r="B2355" s="129"/>
      <c r="C2355" s="149" t="s">
        <v>4317</v>
      </c>
      <c r="D2355" s="147"/>
      <c r="E2355" s="107" t="s">
        <v>3564</v>
      </c>
      <c r="F2355" s="14">
        <f t="shared" si="180"/>
        <v>1</v>
      </c>
      <c r="G2355" s="148"/>
      <c r="H2355" s="1">
        <f>VALUE(H1367)+VALUE(H1369)</f>
        <v>1</v>
      </c>
      <c r="I2355" s="173"/>
      <c r="J2355" s="174"/>
      <c r="K2355" s="385"/>
    </row>
    <row r="2356" spans="2:11" s="6" customFormat="1" x14ac:dyDescent="0.2">
      <c r="B2356" s="129"/>
      <c r="C2356" s="157" t="s">
        <v>4318</v>
      </c>
      <c r="D2356" s="147"/>
      <c r="E2356" s="107" t="s">
        <v>3567</v>
      </c>
      <c r="F2356" s="14">
        <f t="shared" si="180"/>
        <v>3</v>
      </c>
      <c r="G2356" s="148"/>
      <c r="H2356" s="1">
        <f>IF(H2355&gt;1,5,IF(H2355=1,3,IF(H2355=0,0,"MOHON KOREKSI KEMBALI INPUTAN ANDA")))</f>
        <v>3</v>
      </c>
      <c r="I2356" s="173"/>
      <c r="J2356" s="174"/>
      <c r="K2356" s="385"/>
    </row>
    <row r="2357" spans="2:11" s="6" customFormat="1" x14ac:dyDescent="0.2">
      <c r="B2357" s="129"/>
      <c r="C2357" s="157" t="s">
        <v>4318</v>
      </c>
      <c r="D2357" s="147"/>
      <c r="E2357" s="107">
        <f>E2354+1</f>
        <v>2069</v>
      </c>
      <c r="F2357" s="14">
        <f t="shared" si="180"/>
        <v>3</v>
      </c>
      <c r="G2357" s="148"/>
      <c r="H2357" s="1">
        <f>H2356</f>
        <v>3</v>
      </c>
      <c r="I2357" s="173"/>
      <c r="J2357" s="174"/>
      <c r="K2357" s="385"/>
    </row>
    <row r="2358" spans="2:11" s="6" customFormat="1" x14ac:dyDescent="0.2">
      <c r="B2358" s="129"/>
      <c r="C2358" s="149" t="s">
        <v>4319</v>
      </c>
      <c r="D2358" s="147"/>
      <c r="E2358" s="107" t="s">
        <v>3564</v>
      </c>
      <c r="F2358" s="14">
        <f t="shared" si="180"/>
        <v>2</v>
      </c>
      <c r="G2358" s="148"/>
      <c r="H2358" s="1">
        <f>VALUE(H1385)+VALUE(H1387)+VALUE(H1389)</f>
        <v>2</v>
      </c>
      <c r="I2358" s="173"/>
      <c r="J2358" s="174"/>
      <c r="K2358" s="385"/>
    </row>
    <row r="2359" spans="2:11" s="6" customFormat="1" x14ac:dyDescent="0.2">
      <c r="B2359" s="129"/>
      <c r="C2359" s="157" t="s">
        <v>2891</v>
      </c>
      <c r="D2359" s="147"/>
      <c r="E2359" s="107" t="s">
        <v>3567</v>
      </c>
      <c r="F2359" s="14">
        <f t="shared" si="180"/>
        <v>5</v>
      </c>
      <c r="G2359" s="148"/>
      <c r="H2359" s="1">
        <f>IF(H2358&gt;1,5,IF(H2358=1,3,IF(H2358=0,0,"MOHON KOREKSI KEMBALI INPUTAN ANDA")))</f>
        <v>5</v>
      </c>
      <c r="I2359" s="173"/>
      <c r="J2359" s="174"/>
      <c r="K2359" s="385"/>
    </row>
    <row r="2360" spans="2:11" s="6" customFormat="1" x14ac:dyDescent="0.2">
      <c r="B2360" s="129"/>
      <c r="C2360" s="157" t="s">
        <v>2891</v>
      </c>
      <c r="D2360" s="147"/>
      <c r="E2360" s="107">
        <f>E2357+1</f>
        <v>2070</v>
      </c>
      <c r="F2360" s="14">
        <f t="shared" si="180"/>
        <v>5</v>
      </c>
      <c r="G2360" s="148"/>
      <c r="H2360" s="1">
        <f>H2359</f>
        <v>5</v>
      </c>
      <c r="I2360" s="173"/>
      <c r="J2360" s="174"/>
      <c r="K2360" s="385"/>
    </row>
    <row r="2361" spans="2:11" s="6" customFormat="1" x14ac:dyDescent="0.2">
      <c r="B2361" s="129"/>
      <c r="C2361" s="149" t="s">
        <v>4320</v>
      </c>
      <c r="D2361" s="147"/>
      <c r="E2361" s="107" t="s">
        <v>3564</v>
      </c>
      <c r="F2361" s="14">
        <f t="shared" si="180"/>
        <v>1</v>
      </c>
      <c r="G2361" s="148"/>
      <c r="H2361" s="1">
        <f>VALUE(H1390)+VALUE(H1391)+VALUE(H1392)+VALUE(H1393)</f>
        <v>1</v>
      </c>
      <c r="I2361" s="173"/>
      <c r="J2361" s="174"/>
      <c r="K2361" s="385"/>
    </row>
    <row r="2362" spans="2:11" s="6" customFormat="1" x14ac:dyDescent="0.2">
      <c r="B2362" s="129"/>
      <c r="C2362" s="157" t="s">
        <v>2902</v>
      </c>
      <c r="D2362" s="147"/>
      <c r="E2362" s="107" t="s">
        <v>3567</v>
      </c>
      <c r="F2362" s="14">
        <f t="shared" si="180"/>
        <v>2</v>
      </c>
      <c r="G2362" s="148"/>
      <c r="H2362" s="1">
        <f>IF(H2361=4,5,IF(H2361=3,4,IF(H2361=2,3,IF(H2361=1,2,IF(H2361=0,1,1)))))</f>
        <v>2</v>
      </c>
      <c r="I2362" s="173"/>
      <c r="J2362" s="174"/>
      <c r="K2362" s="385"/>
    </row>
    <row r="2363" spans="2:11" s="6" customFormat="1" x14ac:dyDescent="0.2">
      <c r="B2363" s="129"/>
      <c r="C2363" s="157" t="s">
        <v>2902</v>
      </c>
      <c r="D2363" s="147"/>
      <c r="E2363" s="107">
        <f>E2360+1</f>
        <v>2071</v>
      </c>
      <c r="F2363" s="14">
        <f t="shared" si="180"/>
        <v>2</v>
      </c>
      <c r="G2363" s="148"/>
      <c r="H2363" s="1">
        <f>H2362</f>
        <v>2</v>
      </c>
      <c r="I2363" s="173"/>
      <c r="J2363" s="174"/>
      <c r="K2363" s="385"/>
    </row>
    <row r="2364" spans="2:11" s="6" customFormat="1" x14ac:dyDescent="0.2">
      <c r="B2364" s="129"/>
      <c r="C2364" s="149" t="s">
        <v>4321</v>
      </c>
      <c r="D2364" s="147"/>
      <c r="E2364" s="107" t="s">
        <v>3564</v>
      </c>
      <c r="F2364" s="14">
        <f t="shared" si="180"/>
        <v>1</v>
      </c>
      <c r="G2364" s="148"/>
      <c r="H2364" s="1">
        <f>VALUE(H1396)+VALUE(H1397)</f>
        <v>1</v>
      </c>
      <c r="I2364" s="173"/>
      <c r="J2364" s="174"/>
      <c r="K2364" s="385"/>
    </row>
    <row r="2365" spans="2:11" s="6" customFormat="1" x14ac:dyDescent="0.2">
      <c r="B2365" s="129"/>
      <c r="C2365" s="157" t="s">
        <v>2913</v>
      </c>
      <c r="D2365" s="147"/>
      <c r="E2365" s="107" t="s">
        <v>3567</v>
      </c>
      <c r="F2365" s="14">
        <f t="shared" si="180"/>
        <v>3</v>
      </c>
      <c r="G2365" s="148"/>
      <c r="H2365" s="1">
        <f>IF(H2364&gt;1,5,IF(H2364=1,3,IF(H2364=0,1,"MOHON KOREKSI KEMBALI INPUTAN ANDA")))</f>
        <v>3</v>
      </c>
      <c r="I2365" s="173"/>
      <c r="J2365" s="174"/>
      <c r="K2365" s="385"/>
    </row>
    <row r="2366" spans="2:11" s="6" customFormat="1" x14ac:dyDescent="0.2">
      <c r="B2366" s="129"/>
      <c r="C2366" s="157" t="s">
        <v>2913</v>
      </c>
      <c r="D2366" s="147"/>
      <c r="E2366" s="107">
        <f>E2363+1</f>
        <v>2072</v>
      </c>
      <c r="F2366" s="14">
        <f t="shared" si="180"/>
        <v>3</v>
      </c>
      <c r="G2366" s="148"/>
      <c r="H2366" s="1">
        <f>H2365</f>
        <v>3</v>
      </c>
      <c r="I2366" s="173"/>
      <c r="J2366" s="174"/>
      <c r="K2366" s="385"/>
    </row>
    <row r="2367" spans="2:11" s="6" customFormat="1" x14ac:dyDescent="0.2">
      <c r="B2367" s="129"/>
      <c r="C2367" s="157" t="s">
        <v>3068</v>
      </c>
      <c r="D2367" s="147"/>
      <c r="E2367" s="107" t="s">
        <v>3567</v>
      </c>
      <c r="F2367" s="14">
        <f t="shared" si="180"/>
        <v>5</v>
      </c>
      <c r="G2367" s="148"/>
      <c r="H2367" s="1">
        <f>IF(VALUE(H1463)=1,5,IF(VALUE(H1463)=2,3,IF(VALUE(H1463)=3,1,1)))</f>
        <v>5</v>
      </c>
      <c r="I2367" s="173"/>
      <c r="J2367" s="174"/>
      <c r="K2367" s="385"/>
    </row>
    <row r="2368" spans="2:11" s="6" customFormat="1" x14ac:dyDescent="0.2">
      <c r="B2368" s="129"/>
      <c r="C2368" s="157" t="s">
        <v>3068</v>
      </c>
      <c r="D2368" s="147"/>
      <c r="E2368" s="107">
        <f>E2366+1</f>
        <v>2073</v>
      </c>
      <c r="F2368" s="14">
        <f t="shared" si="180"/>
        <v>5</v>
      </c>
      <c r="G2368" s="148"/>
      <c r="H2368" s="1">
        <f>H2367</f>
        <v>5</v>
      </c>
      <c r="I2368" s="173"/>
      <c r="J2368" s="174"/>
      <c r="K2368" s="385"/>
    </row>
    <row r="2369" spans="2:11" s="6" customFormat="1" x14ac:dyDescent="0.2">
      <c r="B2369" s="129"/>
      <c r="C2369" s="157" t="s">
        <v>3082</v>
      </c>
      <c r="D2369" s="147"/>
      <c r="E2369" s="107" t="s">
        <v>3567</v>
      </c>
      <c r="F2369" s="14">
        <f t="shared" si="180"/>
        <v>5</v>
      </c>
      <c r="G2369" s="148"/>
      <c r="H2369" s="1">
        <f>IF(VALUE(H1469)=1,5,IF(VALUE(H1469)=2,3,IF(VALUE(H1469)=3,1,1)))</f>
        <v>5</v>
      </c>
      <c r="I2369" s="173"/>
      <c r="J2369" s="174"/>
      <c r="K2369" s="385"/>
    </row>
    <row r="2370" spans="2:11" s="6" customFormat="1" x14ac:dyDescent="0.2">
      <c r="B2370" s="129"/>
      <c r="C2370" s="157" t="s">
        <v>3082</v>
      </c>
      <c r="D2370" s="147"/>
      <c r="E2370" s="107">
        <f>E2368+1</f>
        <v>2074</v>
      </c>
      <c r="F2370" s="14">
        <f t="shared" si="180"/>
        <v>5</v>
      </c>
      <c r="G2370" s="148"/>
      <c r="H2370" s="1">
        <f>H2369</f>
        <v>5</v>
      </c>
      <c r="I2370" s="173"/>
      <c r="J2370" s="174"/>
      <c r="K2370" s="385"/>
    </row>
    <row r="2371" spans="2:11" s="6" customFormat="1" x14ac:dyDescent="0.2">
      <c r="B2371" s="129"/>
      <c r="C2371" s="157" t="s">
        <v>3085</v>
      </c>
      <c r="D2371" s="147"/>
      <c r="E2371" s="107" t="s">
        <v>3567</v>
      </c>
      <c r="F2371" s="14">
        <f t="shared" si="180"/>
        <v>5</v>
      </c>
      <c r="G2371" s="148"/>
      <c r="H2371" s="1">
        <f>IF(VALUE(H1470)=1,5,IF(VALUE(H1470)=2,4,IF(VALUE(H1470)=3,3,IF(VALUE(H1470)=4,1,1))))</f>
        <v>5</v>
      </c>
      <c r="I2371" s="173"/>
      <c r="J2371" s="174"/>
      <c r="K2371" s="385"/>
    </row>
    <row r="2372" spans="2:11" s="6" customFormat="1" x14ac:dyDescent="0.2">
      <c r="B2372" s="129"/>
      <c r="C2372" s="157" t="s">
        <v>3085</v>
      </c>
      <c r="D2372" s="152"/>
      <c r="E2372" s="107">
        <f>E2370+1</f>
        <v>2075</v>
      </c>
      <c r="F2372" s="14">
        <f t="shared" si="180"/>
        <v>5</v>
      </c>
      <c r="G2372" s="148"/>
      <c r="H2372" s="1">
        <f>H2371</f>
        <v>5</v>
      </c>
      <c r="I2372" s="173"/>
      <c r="J2372" s="174"/>
      <c r="K2372" s="385"/>
    </row>
    <row r="2373" spans="2:11" s="6" customFormat="1" x14ac:dyDescent="0.25">
      <c r="B2373" s="129"/>
      <c r="C2373" s="158" t="s">
        <v>4322</v>
      </c>
      <c r="D2373" s="159"/>
      <c r="E2373" s="107" t="s">
        <v>3567</v>
      </c>
      <c r="F2373" s="14">
        <f t="shared" si="180"/>
        <v>53</v>
      </c>
      <c r="G2373" s="155"/>
      <c r="H2373" s="1">
        <f>IFERROR(VALUE(H2342+H2344+H2348+H2350+H2353+H2356+H2359+H2362+H2365+H2367+H2369+H2371),"Cek Kembali")</f>
        <v>53</v>
      </c>
      <c r="I2373" s="173"/>
      <c r="J2373" s="174"/>
      <c r="K2373" s="385"/>
    </row>
    <row r="2374" spans="2:11" s="6" customFormat="1" x14ac:dyDescent="0.25">
      <c r="B2374" s="129"/>
      <c r="C2374" s="158" t="s">
        <v>4323</v>
      </c>
      <c r="D2374" s="159"/>
      <c r="E2374" s="107" t="s">
        <v>3567</v>
      </c>
      <c r="F2374" s="14">
        <f t="shared" si="180"/>
        <v>0.88333333333332997</v>
      </c>
      <c r="G2374" s="155"/>
      <c r="H2374" s="150">
        <f>IFERROR(VALUE(H2373/60),"Cek Kembali")</f>
        <v>0.88333333333332997</v>
      </c>
      <c r="I2374" s="173"/>
      <c r="J2374" s="174"/>
      <c r="K2374" s="385"/>
    </row>
    <row r="2375" spans="2:11" s="6" customFormat="1" x14ac:dyDescent="0.2">
      <c r="B2375" s="129"/>
      <c r="C2375" s="158" t="s">
        <v>4323</v>
      </c>
      <c r="D2375" s="159"/>
      <c r="E2375" s="107">
        <f>E2372+1</f>
        <v>2076</v>
      </c>
      <c r="F2375" s="156">
        <f t="shared" si="180"/>
        <v>0.88333333333332997</v>
      </c>
      <c r="G2375" s="148"/>
      <c r="H2375" s="150">
        <f>H2374</f>
        <v>0.88333333333332997</v>
      </c>
      <c r="I2375" s="173"/>
      <c r="J2375" s="174"/>
      <c r="K2375" s="385"/>
    </row>
    <row r="2376" spans="2:11" s="6" customFormat="1" x14ac:dyDescent="0.2">
      <c r="B2376" s="129"/>
      <c r="C2376" s="149" t="s">
        <v>4324</v>
      </c>
      <c r="D2376" s="147"/>
      <c r="E2376" s="107" t="s">
        <v>3564</v>
      </c>
      <c r="F2376" s="14">
        <f t="shared" si="180"/>
        <v>0</v>
      </c>
      <c r="G2376" s="148"/>
      <c r="H2376" s="1">
        <f>IF(VALUE(H1479)&gt;=1,1,0)</f>
        <v>0</v>
      </c>
      <c r="I2376" s="173"/>
      <c r="J2376" s="174"/>
      <c r="K2376" s="385"/>
    </row>
    <row r="2377" spans="2:11" s="6" customFormat="1" x14ac:dyDescent="0.2">
      <c r="B2377" s="129"/>
      <c r="C2377" s="149" t="s">
        <v>4325</v>
      </c>
      <c r="D2377" s="147"/>
      <c r="E2377" s="107" t="s">
        <v>3564</v>
      </c>
      <c r="F2377" s="14">
        <f t="shared" si="180"/>
        <v>0</v>
      </c>
      <c r="G2377" s="148"/>
      <c r="H2377" s="1">
        <f>IF(VALUE(H1480)&gt;=1,1,0)</f>
        <v>0</v>
      </c>
      <c r="I2377" s="173"/>
      <c r="J2377" s="174"/>
      <c r="K2377" s="385"/>
    </row>
    <row r="2378" spans="2:11" s="6" customFormat="1" x14ac:dyDescent="0.2">
      <c r="B2378" s="129"/>
      <c r="C2378" s="149" t="s">
        <v>4326</v>
      </c>
      <c r="D2378" s="147"/>
      <c r="E2378" s="107" t="s">
        <v>3564</v>
      </c>
      <c r="F2378" s="14">
        <f t="shared" si="180"/>
        <v>0</v>
      </c>
      <c r="G2378" s="148"/>
      <c r="H2378" s="1">
        <f>IF(VALUE(H1481)&gt;=1,1,0)</f>
        <v>0</v>
      </c>
      <c r="I2378" s="173"/>
      <c r="J2378" s="174"/>
      <c r="K2378" s="385"/>
    </row>
    <row r="2379" spans="2:11" s="6" customFormat="1" x14ac:dyDescent="0.2">
      <c r="B2379" s="129"/>
      <c r="C2379" s="149" t="s">
        <v>4327</v>
      </c>
      <c r="D2379" s="147"/>
      <c r="E2379" s="107" t="s">
        <v>3564</v>
      </c>
      <c r="F2379" s="14">
        <f t="shared" si="180"/>
        <v>0</v>
      </c>
      <c r="G2379" s="148"/>
      <c r="H2379" s="1">
        <f>IF(VALUE(H1483)&gt;=1,1,0)</f>
        <v>0</v>
      </c>
      <c r="I2379" s="173"/>
      <c r="J2379" s="174"/>
      <c r="K2379" s="385"/>
    </row>
    <row r="2380" spans="2:11" s="6" customFormat="1" x14ac:dyDescent="0.2">
      <c r="B2380" s="129"/>
      <c r="C2380" s="149" t="s">
        <v>4328</v>
      </c>
      <c r="D2380" s="147"/>
      <c r="E2380" s="107" t="s">
        <v>3564</v>
      </c>
      <c r="F2380" s="14">
        <f t="shared" si="180"/>
        <v>0</v>
      </c>
      <c r="G2380" s="148"/>
      <c r="H2380" s="1">
        <f>(H2376+H2377+H2378+H2379)/4</f>
        <v>0</v>
      </c>
      <c r="I2380" s="173"/>
      <c r="J2380" s="174"/>
      <c r="K2380" s="385"/>
    </row>
    <row r="2381" spans="2:11" s="6" customFormat="1" x14ac:dyDescent="0.2">
      <c r="B2381" s="129"/>
      <c r="C2381" s="160" t="s">
        <v>3104</v>
      </c>
      <c r="D2381" s="147"/>
      <c r="E2381" s="107" t="s">
        <v>3567</v>
      </c>
      <c r="F2381" s="14">
        <f t="shared" si="180"/>
        <v>5</v>
      </c>
      <c r="G2381" s="148"/>
      <c r="H2381" s="1">
        <f>IF(H2380=0,5,IF(H2380=0.25,4,IF(H2380=0.5,3,IF(H2380=0.75,2,IF(H2380=1,0,"CEK")))))</f>
        <v>5</v>
      </c>
      <c r="I2381" s="173"/>
      <c r="J2381" s="174"/>
      <c r="K2381" s="385"/>
    </row>
    <row r="2382" spans="2:11" s="6" customFormat="1" x14ac:dyDescent="0.2">
      <c r="B2382" s="129"/>
      <c r="C2382" s="160" t="s">
        <v>3104</v>
      </c>
      <c r="D2382" s="147"/>
      <c r="E2382" s="107">
        <f>E2375+1</f>
        <v>2077</v>
      </c>
      <c r="F2382" s="14">
        <f t="shared" si="180"/>
        <v>5</v>
      </c>
      <c r="G2382" s="148"/>
      <c r="H2382" s="1">
        <f>H2381</f>
        <v>5</v>
      </c>
      <c r="I2382" s="173"/>
      <c r="J2382" s="174"/>
      <c r="K2382" s="385"/>
    </row>
    <row r="2383" spans="2:11" s="6" customFormat="1" x14ac:dyDescent="0.2">
      <c r="B2383" s="129"/>
      <c r="C2383" s="149" t="s">
        <v>4329</v>
      </c>
      <c r="D2383" s="147"/>
      <c r="E2383" s="107" t="s">
        <v>3564</v>
      </c>
      <c r="F2383" s="14">
        <f t="shared" ref="F2383:F2397" si="181">H2383</f>
        <v>0</v>
      </c>
      <c r="G2383" s="148"/>
      <c r="H2383" s="1">
        <f>IF(VALUE(H1487)=0,0,IF(VALUE(H1487)&gt;0,1,1))</f>
        <v>0</v>
      </c>
      <c r="I2383" s="173"/>
      <c r="J2383" s="174"/>
      <c r="K2383" s="385"/>
    </row>
    <row r="2384" spans="2:11" s="6" customFormat="1" x14ac:dyDescent="0.2">
      <c r="B2384" s="129"/>
      <c r="C2384" s="149" t="s">
        <v>3122</v>
      </c>
      <c r="D2384" s="147"/>
      <c r="E2384" s="107" t="s">
        <v>3564</v>
      </c>
      <c r="F2384" s="14">
        <f t="shared" si="181"/>
        <v>0</v>
      </c>
      <c r="G2384" s="148"/>
      <c r="H2384" s="1">
        <f>IF(VALUE(H1488)=0,0,IF(VALUE(H1488)&gt;0,1,1))</f>
        <v>0</v>
      </c>
      <c r="I2384" s="173"/>
      <c r="J2384" s="174"/>
      <c r="K2384" s="385"/>
    </row>
    <row r="2385" spans="2:11" s="6" customFormat="1" x14ac:dyDescent="0.2">
      <c r="B2385" s="129"/>
      <c r="C2385" s="149" t="s">
        <v>3134</v>
      </c>
      <c r="D2385" s="147"/>
      <c r="E2385" s="107" t="s">
        <v>3564</v>
      </c>
      <c r="F2385" s="14">
        <f t="shared" si="181"/>
        <v>0</v>
      </c>
      <c r="G2385" s="148"/>
      <c r="H2385" s="1">
        <f>IF(VALUE(H1494)=0,0,IF(VALUE(H1494)&gt;0,1,1))</f>
        <v>0</v>
      </c>
      <c r="I2385" s="173"/>
      <c r="J2385" s="174"/>
      <c r="K2385" s="385"/>
    </row>
    <row r="2386" spans="2:11" s="6" customFormat="1" x14ac:dyDescent="0.2">
      <c r="B2386" s="129"/>
      <c r="C2386" s="149" t="s">
        <v>4330</v>
      </c>
      <c r="D2386" s="147"/>
      <c r="E2386" s="107" t="s">
        <v>3564</v>
      </c>
      <c r="F2386" s="14">
        <f t="shared" si="181"/>
        <v>0</v>
      </c>
      <c r="G2386" s="148"/>
      <c r="H2386" s="1">
        <f>H2383+H2384+H2385</f>
        <v>0</v>
      </c>
      <c r="I2386" s="173"/>
      <c r="J2386" s="174"/>
      <c r="K2386" s="385"/>
    </row>
    <row r="2387" spans="2:11" s="6" customFormat="1" x14ac:dyDescent="0.2">
      <c r="B2387" s="129"/>
      <c r="C2387" s="160" t="s">
        <v>3120</v>
      </c>
      <c r="D2387" s="147"/>
      <c r="E2387" s="107" t="s">
        <v>3567</v>
      </c>
      <c r="F2387" s="14">
        <f t="shared" si="181"/>
        <v>5</v>
      </c>
      <c r="G2387" s="148"/>
      <c r="H2387" s="1">
        <f>IF(H2386=0,5,IF(H2386=1,4,IF(H2386=2,3,IF(H2386&gt;=3,0,"CEK INPUTAN ANDA"))))</f>
        <v>5</v>
      </c>
      <c r="I2387" s="173"/>
      <c r="J2387" s="174"/>
      <c r="K2387" s="385"/>
    </row>
    <row r="2388" spans="2:11" s="6" customFormat="1" x14ac:dyDescent="0.2">
      <c r="B2388" s="129"/>
      <c r="C2388" s="160" t="s">
        <v>3120</v>
      </c>
      <c r="D2388" s="147"/>
      <c r="E2388" s="107">
        <f>E2382+1</f>
        <v>2078</v>
      </c>
      <c r="F2388" s="14">
        <f t="shared" si="181"/>
        <v>5</v>
      </c>
      <c r="G2388" s="148"/>
      <c r="H2388" s="1">
        <f>H2387</f>
        <v>5</v>
      </c>
      <c r="I2388" s="173"/>
      <c r="J2388" s="174"/>
      <c r="K2388" s="385"/>
    </row>
    <row r="2389" spans="2:11" s="6" customFormat="1" x14ac:dyDescent="0.2">
      <c r="B2389" s="129"/>
      <c r="C2389" s="149" t="s">
        <v>4331</v>
      </c>
      <c r="D2389" s="147"/>
      <c r="E2389" s="107" t="s">
        <v>3564</v>
      </c>
      <c r="F2389" s="14">
        <f t="shared" si="181"/>
        <v>0</v>
      </c>
      <c r="G2389" s="148"/>
      <c r="H2389" s="1">
        <f>IF(VALUE(H1498)&gt;=1,1,0)</f>
        <v>0</v>
      </c>
      <c r="I2389" s="173"/>
      <c r="J2389" s="174"/>
      <c r="K2389" s="385"/>
    </row>
    <row r="2390" spans="2:11" s="6" customFormat="1" x14ac:dyDescent="0.2">
      <c r="B2390" s="129"/>
      <c r="C2390" s="149" t="s">
        <v>4332</v>
      </c>
      <c r="D2390" s="147"/>
      <c r="E2390" s="107" t="s">
        <v>3564</v>
      </c>
      <c r="F2390" s="14">
        <f t="shared" si="181"/>
        <v>0</v>
      </c>
      <c r="G2390" s="148"/>
      <c r="H2390" s="1">
        <f>IF(VALUE(H1500)&gt;=1,1,0)</f>
        <v>0</v>
      </c>
      <c r="I2390" s="173"/>
      <c r="J2390" s="174"/>
      <c r="K2390" s="385"/>
    </row>
    <row r="2391" spans="2:11" s="6" customFormat="1" x14ac:dyDescent="0.2">
      <c r="B2391" s="129"/>
      <c r="C2391" s="149" t="s">
        <v>4333</v>
      </c>
      <c r="D2391" s="147"/>
      <c r="E2391" s="107" t="s">
        <v>3564</v>
      </c>
      <c r="F2391" s="14">
        <f t="shared" si="181"/>
        <v>1</v>
      </c>
      <c r="G2391" s="148"/>
      <c r="H2391" s="1">
        <f>IF(VALUE(H1501)&gt;=1,1,0)</f>
        <v>1</v>
      </c>
      <c r="I2391" s="173"/>
      <c r="J2391" s="174"/>
      <c r="K2391" s="385"/>
    </row>
    <row r="2392" spans="2:11" s="6" customFormat="1" x14ac:dyDescent="0.2">
      <c r="B2392" s="129"/>
      <c r="C2392" s="149" t="s">
        <v>4334</v>
      </c>
      <c r="D2392" s="147"/>
      <c r="E2392" s="107" t="s">
        <v>3564</v>
      </c>
      <c r="F2392" s="14">
        <f t="shared" si="181"/>
        <v>1</v>
      </c>
      <c r="G2392" s="148"/>
      <c r="H2392" s="1">
        <f>H2389+H2390+H2391</f>
        <v>1</v>
      </c>
      <c r="I2392" s="173"/>
      <c r="J2392" s="174"/>
      <c r="K2392" s="385"/>
    </row>
    <row r="2393" spans="2:11" s="6" customFormat="1" x14ac:dyDescent="0.2">
      <c r="B2393" s="129"/>
      <c r="C2393" s="160" t="s">
        <v>3142</v>
      </c>
      <c r="D2393" s="147"/>
      <c r="E2393" s="107" t="s">
        <v>3567</v>
      </c>
      <c r="F2393" s="14">
        <f t="shared" si="181"/>
        <v>3</v>
      </c>
      <c r="G2393" s="148"/>
      <c r="H2393" s="1">
        <f>IF(H2392=3,5,IF(H2392=2,4,IF(H2392=1,3,IF(H2392=0,0,"MOHON KOREKSI KEMBALI INPUTAN ANDA"))))</f>
        <v>3</v>
      </c>
      <c r="I2393" s="173"/>
      <c r="J2393" s="174"/>
      <c r="K2393" s="385"/>
    </row>
    <row r="2394" spans="2:11" s="6" customFormat="1" x14ac:dyDescent="0.2">
      <c r="B2394" s="129"/>
      <c r="C2394" s="160" t="s">
        <v>3142</v>
      </c>
      <c r="D2394" s="152"/>
      <c r="E2394" s="107">
        <f>E2388+1</f>
        <v>2079</v>
      </c>
      <c r="F2394" s="14">
        <f t="shared" si="181"/>
        <v>3</v>
      </c>
      <c r="G2394" s="148"/>
      <c r="H2394" s="1">
        <f>H2393</f>
        <v>3</v>
      </c>
      <c r="I2394" s="173"/>
      <c r="J2394" s="174"/>
      <c r="K2394" s="385"/>
    </row>
    <row r="2395" spans="2:11" s="6" customFormat="1" x14ac:dyDescent="0.25">
      <c r="B2395" s="129"/>
      <c r="C2395" s="161" t="s">
        <v>4335</v>
      </c>
      <c r="D2395" s="162"/>
      <c r="E2395" s="107" t="s">
        <v>3567</v>
      </c>
      <c r="F2395" s="14">
        <f t="shared" si="181"/>
        <v>13</v>
      </c>
      <c r="G2395" s="155"/>
      <c r="H2395" s="1">
        <f>IFERROR(VALUE(H2381+H2387+H2393),"Cek Kembali")</f>
        <v>13</v>
      </c>
      <c r="I2395" s="173"/>
      <c r="J2395" s="174"/>
      <c r="K2395" s="385"/>
    </row>
    <row r="2396" spans="2:11" s="6" customFormat="1" x14ac:dyDescent="0.25">
      <c r="B2396" s="129"/>
      <c r="C2396" s="161" t="s">
        <v>4336</v>
      </c>
      <c r="D2396" s="162"/>
      <c r="E2396" s="107" t="s">
        <v>3567</v>
      </c>
      <c r="F2396" s="14">
        <f t="shared" si="181"/>
        <v>0.86666666666667003</v>
      </c>
      <c r="G2396" s="155"/>
      <c r="H2396" s="150">
        <f>IFERROR(VALUE(H2395/15),"Cek Kembali")</f>
        <v>0.86666666666667003</v>
      </c>
      <c r="I2396" s="173"/>
      <c r="J2396" s="174"/>
      <c r="K2396" s="385"/>
    </row>
    <row r="2397" spans="2:11" s="6" customFormat="1" x14ac:dyDescent="0.2">
      <c r="B2397" s="129"/>
      <c r="C2397" s="161" t="s">
        <v>4336</v>
      </c>
      <c r="D2397" s="162"/>
      <c r="E2397" s="107">
        <f>E2394+1</f>
        <v>2080</v>
      </c>
      <c r="F2397" s="156">
        <f t="shared" si="181"/>
        <v>0.86666666666667003</v>
      </c>
      <c r="G2397" s="148"/>
      <c r="H2397" s="150">
        <f>H2396</f>
        <v>0.86666666666667003</v>
      </c>
      <c r="I2397" s="173"/>
      <c r="J2397" s="174"/>
      <c r="K2397" s="385"/>
    </row>
    <row r="2398" spans="2:11" s="6" customFormat="1" x14ac:dyDescent="0.25">
      <c r="B2398" s="129"/>
      <c r="C2398" s="163"/>
      <c r="D2398" s="164"/>
      <c r="E2398" s="165"/>
      <c r="F2398" s="14"/>
      <c r="G2398" s="166"/>
      <c r="H2398" s="150"/>
      <c r="I2398" s="173"/>
      <c r="J2398" s="174"/>
      <c r="K2398" s="385"/>
    </row>
    <row r="2399" spans="2:11" s="6" customFormat="1" x14ac:dyDescent="0.25">
      <c r="B2399" s="129"/>
      <c r="C2399" s="167" t="s">
        <v>4337</v>
      </c>
      <c r="D2399" s="168"/>
      <c r="E2399" s="107" t="s">
        <v>3567</v>
      </c>
      <c r="F2399" s="14">
        <f>H2399</f>
        <v>0.86523809523810002</v>
      </c>
      <c r="G2399" s="155"/>
      <c r="H2399" s="150">
        <f>IFERROR(VALUE((H2339+H2374+H2396)/3),"Cek Kembali")</f>
        <v>0.86523809523810002</v>
      </c>
      <c r="I2399" s="173"/>
      <c r="J2399" s="174"/>
      <c r="K2399" s="385"/>
    </row>
    <row r="2400" spans="2:11" s="6" customFormat="1" x14ac:dyDescent="0.2">
      <c r="B2400" s="129"/>
      <c r="C2400" s="167" t="s">
        <v>4337</v>
      </c>
      <c r="D2400" s="168"/>
      <c r="E2400" s="107">
        <f>E2397+1</f>
        <v>2081</v>
      </c>
      <c r="F2400" s="156">
        <f>H2400</f>
        <v>0.86523809523810002</v>
      </c>
      <c r="G2400" s="148"/>
      <c r="H2400" s="150">
        <f>H2399</f>
        <v>0.86523809523810002</v>
      </c>
      <c r="I2400" s="173"/>
      <c r="J2400" s="174"/>
      <c r="K2400" s="385"/>
    </row>
    <row r="2401" spans="2:11" s="6" customFormat="1" ht="20.45" customHeight="1" x14ac:dyDescent="0.25">
      <c r="B2401" s="129"/>
      <c r="C2401" s="167" t="s">
        <v>4338</v>
      </c>
      <c r="D2401" s="168"/>
      <c r="E2401" s="107" t="s">
        <v>3567</v>
      </c>
      <c r="F2401" s="14" t="str">
        <f>H2401</f>
        <v>Mandiri</v>
      </c>
      <c r="G2401" s="155"/>
      <c r="H2401" s="169" t="str">
        <f>IF(H2399&lt;=0.4907,"Sangat Tertinggal",IF(AND(H2399&gt;0.4907,H2399&lt;=0.5989),"Tertinggal",IF(AND(H2399&gt;0.5989,H2399&lt;=0.7072),"Berkembang",IF(AND(H2399&gt;0.7072,H2399&lt;=0.8155),"Maju",IF(AND(H2399&gt;0.8155,H2399&lt;=1),"Mandiri","KOREKSI KEMBALI")))))</f>
        <v>Mandiri</v>
      </c>
      <c r="I2401" s="179"/>
      <c r="J2401" s="174"/>
      <c r="K2401" s="385"/>
    </row>
    <row r="2402" spans="2:11" s="6" customFormat="1" ht="20.45" customHeight="1" x14ac:dyDescent="0.2">
      <c r="B2402" s="129"/>
      <c r="C2402" s="167" t="s">
        <v>4338</v>
      </c>
      <c r="D2402" s="168"/>
      <c r="E2402" s="107">
        <f>E2400+1</f>
        <v>2082</v>
      </c>
      <c r="F2402" s="134" t="str">
        <f>H2402</f>
        <v>Mandiri</v>
      </c>
      <c r="G2402" s="148"/>
      <c r="H2402" s="170" t="str">
        <f>H2401</f>
        <v>Mandiri</v>
      </c>
      <c r="I2402" s="180"/>
      <c r="J2402" s="174"/>
      <c r="K2402" s="385"/>
    </row>
    <row r="2403" spans="2:11" ht="21" customHeight="1" x14ac:dyDescent="0.25">
      <c r="B2403" s="586" t="s">
        <v>4339</v>
      </c>
      <c r="C2403" s="586"/>
      <c r="D2403" s="586"/>
      <c r="E2403" s="586"/>
      <c r="F2403" s="586"/>
      <c r="G2403" s="586"/>
      <c r="H2403" s="586"/>
    </row>
    <row r="2404" spans="2:11" ht="15" customHeight="1" x14ac:dyDescent="0.25">
      <c r="B2404" s="270">
        <v>1</v>
      </c>
      <c r="C2404" s="271" t="s">
        <v>3560</v>
      </c>
      <c r="D2404" s="437"/>
      <c r="E2404" s="107">
        <f>E2402+1</f>
        <v>2083</v>
      </c>
      <c r="F2404" s="438"/>
      <c r="G2404" s="438"/>
      <c r="H2404" s="272">
        <f>IFERROR(VALUE(H2405+H2410+H2418),"Cek Kembali")</f>
        <v>136</v>
      </c>
      <c r="I2404" s="475" t="s">
        <v>3596</v>
      </c>
    </row>
    <row r="2405" spans="2:11" ht="15" customHeight="1" x14ac:dyDescent="0.25">
      <c r="B2405" s="270" t="s">
        <v>4340</v>
      </c>
      <c r="C2405" s="273" t="s">
        <v>3562</v>
      </c>
      <c r="D2405" s="437"/>
      <c r="E2405" s="107">
        <f t="shared" ref="E2405:E2436" si="182">E2404+1</f>
        <v>2084</v>
      </c>
      <c r="F2405" s="438"/>
      <c r="G2405" s="438"/>
      <c r="H2405" s="274">
        <f>IFERROR(VALUE(H2406+H2407+H2408+H2409),"Cek Kembali")</f>
        <v>40</v>
      </c>
      <c r="I2405" s="475" t="s">
        <v>3596</v>
      </c>
    </row>
    <row r="2406" spans="2:11" ht="15" customHeight="1" x14ac:dyDescent="0.25">
      <c r="B2406" s="270"/>
      <c r="C2406" s="275" t="s">
        <v>4341</v>
      </c>
      <c r="D2406" s="437"/>
      <c r="E2406" s="107">
        <f t="shared" si="182"/>
        <v>2085</v>
      </c>
      <c r="F2406" s="438"/>
      <c r="G2406" s="438"/>
      <c r="H2406" s="276">
        <f>IFERROR(H1736+H1741+H1745,"Cek Akses PAUD")</f>
        <v>14</v>
      </c>
      <c r="I2406" s="475" t="s">
        <v>3596</v>
      </c>
    </row>
    <row r="2407" spans="2:11" ht="15" customHeight="1" x14ac:dyDescent="0.25">
      <c r="B2407" s="270"/>
      <c r="C2407" s="277" t="s">
        <v>4342</v>
      </c>
      <c r="D2407" s="437"/>
      <c r="E2407" s="107">
        <f t="shared" si="182"/>
        <v>2086</v>
      </c>
      <c r="F2407" s="438"/>
      <c r="G2407" s="438"/>
      <c r="H2407" s="276">
        <f>IFERROR(H1753+H1757,"Cek Akses SD")</f>
        <v>10</v>
      </c>
      <c r="I2407" s="475" t="s">
        <v>3596</v>
      </c>
    </row>
    <row r="2408" spans="2:11" ht="15" customHeight="1" x14ac:dyDescent="0.25">
      <c r="B2408" s="270"/>
      <c r="C2408" s="277" t="s">
        <v>4343</v>
      </c>
      <c r="D2408" s="437"/>
      <c r="E2408" s="107">
        <f t="shared" si="182"/>
        <v>2087</v>
      </c>
      <c r="F2408" s="438"/>
      <c r="G2408" s="438"/>
      <c r="H2408" s="276">
        <f>IFERROR(VALUE(H1765+H1769),"Cek Akses SMP")</f>
        <v>6</v>
      </c>
      <c r="I2408" s="475" t="s">
        <v>3596</v>
      </c>
    </row>
    <row r="2409" spans="2:11" ht="15" customHeight="1" x14ac:dyDescent="0.25">
      <c r="B2409" s="270"/>
      <c r="C2409" s="277" t="s">
        <v>4344</v>
      </c>
      <c r="D2409" s="437"/>
      <c r="E2409" s="107">
        <f t="shared" si="182"/>
        <v>2088</v>
      </c>
      <c r="F2409" s="438"/>
      <c r="G2409" s="438"/>
      <c r="H2409" s="276">
        <f>IFERROR(H1777+H1781,"Cek Akses SMA")</f>
        <v>10</v>
      </c>
      <c r="I2409" s="475" t="s">
        <v>3596</v>
      </c>
    </row>
    <row r="2410" spans="2:11" ht="15" customHeight="1" x14ac:dyDescent="0.25">
      <c r="B2410" s="270" t="s">
        <v>4345</v>
      </c>
      <c r="C2410" s="278" t="s">
        <v>3658</v>
      </c>
      <c r="D2410" s="437"/>
      <c r="E2410" s="107">
        <f t="shared" si="182"/>
        <v>2089</v>
      </c>
      <c r="F2410" s="438"/>
      <c r="G2410" s="438"/>
      <c r="H2410" s="279">
        <f>IFERROR(VALUE(H2411+H2412+H2413+H2414+H2415+H2416+H2417),"Cek Kembali")</f>
        <v>73</v>
      </c>
      <c r="I2410" s="475" t="s">
        <v>3596</v>
      </c>
    </row>
    <row r="2411" spans="2:11" ht="15" customHeight="1" x14ac:dyDescent="0.25">
      <c r="B2411" s="270"/>
      <c r="C2411" s="275" t="s">
        <v>3659</v>
      </c>
      <c r="D2411" s="437"/>
      <c r="E2411" s="107">
        <f t="shared" si="182"/>
        <v>2090</v>
      </c>
      <c r="F2411" s="438"/>
      <c r="G2411" s="438"/>
      <c r="H2411" s="276">
        <f>IFERROR(VALUE(H1802),"Cek Layanan SarKes")</f>
        <v>5</v>
      </c>
      <c r="I2411" s="475" t="s">
        <v>3596</v>
      </c>
    </row>
    <row r="2412" spans="2:11" ht="15" customHeight="1" x14ac:dyDescent="0.25">
      <c r="B2412" s="270"/>
      <c r="C2412" s="277" t="s">
        <v>4346</v>
      </c>
      <c r="D2412" s="437"/>
      <c r="E2412" s="107">
        <f t="shared" si="182"/>
        <v>2091</v>
      </c>
      <c r="F2412" s="438"/>
      <c r="G2412" s="438"/>
      <c r="H2412" s="276">
        <f>IFERROR(VALUE(H1811+H1815),"Cek FasKes Poskesdes/Polindes/Pustu")</f>
        <v>6</v>
      </c>
      <c r="I2412" s="475" t="s">
        <v>3596</v>
      </c>
    </row>
    <row r="2413" spans="2:11" ht="15" customHeight="1" x14ac:dyDescent="0.25">
      <c r="B2413" s="270"/>
      <c r="C2413" s="277" t="s">
        <v>3694</v>
      </c>
      <c r="D2413" s="437"/>
      <c r="E2413" s="107">
        <f t="shared" si="182"/>
        <v>2092</v>
      </c>
      <c r="F2413" s="438"/>
      <c r="G2413" s="438"/>
      <c r="H2413" s="276">
        <f>IFERROR(VALUE(H1817+H1818+H1823),"Cek Aktivitas Posyandu")</f>
        <v>15</v>
      </c>
      <c r="I2413" s="475" t="s">
        <v>3596</v>
      </c>
    </row>
    <row r="2414" spans="2:11" ht="15" customHeight="1" x14ac:dyDescent="0.25">
      <c r="B2414" s="270"/>
      <c r="C2414" s="277" t="s">
        <v>3706</v>
      </c>
      <c r="D2414" s="437"/>
      <c r="E2414" s="107">
        <f t="shared" si="182"/>
        <v>2093</v>
      </c>
      <c r="F2414" s="438"/>
      <c r="G2414" s="438"/>
      <c r="H2414" s="276">
        <f>IFERROR(VALUE(H1835),"Cek Layanan Dokter")</f>
        <v>5</v>
      </c>
      <c r="I2414" s="475" t="s">
        <v>3596</v>
      </c>
    </row>
    <row r="2415" spans="2:11" ht="15" customHeight="1" x14ac:dyDescent="0.25">
      <c r="B2415" s="270"/>
      <c r="C2415" s="277" t="s">
        <v>3721</v>
      </c>
      <c r="D2415" s="437"/>
      <c r="E2415" s="107">
        <f t="shared" si="182"/>
        <v>2094</v>
      </c>
      <c r="F2415" s="438"/>
      <c r="G2415" s="438"/>
      <c r="H2415" s="276">
        <f>IFERROR(VALUE(H1843+H1851+H1852+H1853),"Cek Layanan Bidan")</f>
        <v>16</v>
      </c>
      <c r="I2415" s="475" t="s">
        <v>3596</v>
      </c>
    </row>
    <row r="2416" spans="2:11" ht="15" customHeight="1" x14ac:dyDescent="0.25">
      <c r="B2416" s="270"/>
      <c r="C2416" s="277" t="s">
        <v>3730</v>
      </c>
      <c r="D2416" s="437"/>
      <c r="E2416" s="107">
        <f t="shared" si="182"/>
        <v>2095</v>
      </c>
      <c r="F2416" s="438"/>
      <c r="G2416" s="438"/>
      <c r="H2416" s="276">
        <f>IFERROR(VALUE(H1861+H1863+H1864+H1865),"Cek Layanan NaKes Lainnya")</f>
        <v>16</v>
      </c>
      <c r="I2416" s="475" t="s">
        <v>3596</v>
      </c>
    </row>
    <row r="2417" spans="2:9" ht="15" customHeight="1" x14ac:dyDescent="0.25">
      <c r="B2417" s="270"/>
      <c r="C2417" s="277" t="s">
        <v>3740</v>
      </c>
      <c r="D2417" s="437"/>
      <c r="E2417" s="107">
        <f t="shared" si="182"/>
        <v>2096</v>
      </c>
      <c r="F2417" s="438"/>
      <c r="G2417" s="438"/>
      <c r="H2417" s="276">
        <f>IFERROR(H1874+H1875,"Cek JamKesNas")</f>
        <v>10</v>
      </c>
      <c r="I2417" s="475" t="s">
        <v>3596</v>
      </c>
    </row>
    <row r="2418" spans="2:9" ht="15" customHeight="1" x14ac:dyDescent="0.25">
      <c r="B2418" s="270" t="s">
        <v>4347</v>
      </c>
      <c r="C2418" s="278" t="s">
        <v>4348</v>
      </c>
      <c r="D2418" s="437"/>
      <c r="E2418" s="107">
        <f t="shared" si="182"/>
        <v>2097</v>
      </c>
      <c r="F2418" s="438"/>
      <c r="G2418" s="438"/>
      <c r="H2418" s="279">
        <f>IFERROR(H2419+H2420,"Cek Kembali")</f>
        <v>23</v>
      </c>
      <c r="I2418" s="475" t="s">
        <v>3596</v>
      </c>
    </row>
    <row r="2419" spans="2:9" ht="15" customHeight="1" x14ac:dyDescent="0.25">
      <c r="B2419" s="270"/>
      <c r="C2419" s="277" t="s">
        <v>3762</v>
      </c>
      <c r="D2419" s="437"/>
      <c r="E2419" s="107">
        <f t="shared" si="182"/>
        <v>2098</v>
      </c>
      <c r="F2419" s="438"/>
      <c r="G2419" s="438"/>
      <c r="H2419" s="276">
        <f>IFERROR(H1894+H1896+H1897+H1899,"Cek Ketersediaan Air Minum")</f>
        <v>18</v>
      </c>
      <c r="I2419" s="475" t="s">
        <v>3596</v>
      </c>
    </row>
    <row r="2420" spans="2:9" ht="15" customHeight="1" x14ac:dyDescent="0.25">
      <c r="B2420" s="270"/>
      <c r="C2420" s="277" t="s">
        <v>3817</v>
      </c>
      <c r="D2420" s="437"/>
      <c r="E2420" s="107">
        <f t="shared" si="182"/>
        <v>2099</v>
      </c>
      <c r="F2420" s="438"/>
      <c r="G2420" s="438"/>
      <c r="H2420" s="276">
        <f>IFERROR(H1926,"Cek Persentase RTLH")</f>
        <v>5</v>
      </c>
      <c r="I2420" s="475" t="s">
        <v>3596</v>
      </c>
    </row>
    <row r="2421" spans="2:9" ht="15" customHeight="1" x14ac:dyDescent="0.25">
      <c r="B2421" s="281">
        <v>2</v>
      </c>
      <c r="C2421" s="307" t="s">
        <v>3823</v>
      </c>
      <c r="D2421" s="439"/>
      <c r="E2421" s="107">
        <f t="shared" si="182"/>
        <v>2100</v>
      </c>
      <c r="F2421" s="440"/>
      <c r="G2421" s="440"/>
      <c r="H2421" s="308">
        <f>IFERROR(H2422+H2428,"Cek Kembali")</f>
        <v>72</v>
      </c>
      <c r="I2421" s="475" t="s">
        <v>3596</v>
      </c>
    </row>
    <row r="2422" spans="2:9" ht="15" customHeight="1" x14ac:dyDescent="0.25">
      <c r="B2422" s="281" t="s">
        <v>4349</v>
      </c>
      <c r="C2422" s="307" t="s">
        <v>3825</v>
      </c>
      <c r="D2422" s="439"/>
      <c r="E2422" s="107">
        <f t="shared" si="182"/>
        <v>2101</v>
      </c>
      <c r="F2422" s="440"/>
      <c r="G2422" s="440"/>
      <c r="H2422" s="308">
        <f>IFERROR(H2423+H2424+H2425+H2426+H2427,"Cek Kembali")</f>
        <v>58</v>
      </c>
      <c r="I2422" s="475" t="s">
        <v>3596</v>
      </c>
    </row>
    <row r="2423" spans="2:9" ht="15" customHeight="1" x14ac:dyDescent="0.25">
      <c r="B2423" s="281"/>
      <c r="C2423" s="309" t="s">
        <v>3826</v>
      </c>
      <c r="D2423" s="439"/>
      <c r="E2423" s="107">
        <f t="shared" si="182"/>
        <v>2102</v>
      </c>
      <c r="F2423" s="440"/>
      <c r="G2423" s="440"/>
      <c r="H2423" s="310">
        <f>IFERROR(H1930+H1932,"Cek Kearifan Sosial/ Budaya")</f>
        <v>8</v>
      </c>
      <c r="I2423" s="475" t="s">
        <v>3596</v>
      </c>
    </row>
    <row r="2424" spans="2:9" ht="15" customHeight="1" x14ac:dyDescent="0.25">
      <c r="B2424" s="281"/>
      <c r="C2424" s="309" t="s">
        <v>3832</v>
      </c>
      <c r="D2424" s="439"/>
      <c r="E2424" s="107">
        <f t="shared" si="182"/>
        <v>2103</v>
      </c>
      <c r="F2424" s="440"/>
      <c r="G2424" s="440"/>
      <c r="H2424" s="310">
        <f>IFERROR(H1935+H1940+H1941,"Cek Frekuensi Gotong Royong")</f>
        <v>15</v>
      </c>
      <c r="I2424" s="475" t="s">
        <v>3596</v>
      </c>
    </row>
    <row r="2425" spans="2:9" ht="15" customHeight="1" x14ac:dyDescent="0.25">
      <c r="B2425" s="281"/>
      <c r="C2425" s="309" t="s">
        <v>3844</v>
      </c>
      <c r="D2425" s="439"/>
      <c r="E2425" s="107">
        <f t="shared" si="182"/>
        <v>2104</v>
      </c>
      <c r="F2425" s="440"/>
      <c r="G2425" s="440"/>
      <c r="H2425" s="310">
        <f>IFERROR(H1952,"Cek Kegiatan Olahraga")</f>
        <v>3</v>
      </c>
      <c r="I2425" s="475" t="s">
        <v>3596</v>
      </c>
    </row>
    <row r="2426" spans="2:9" ht="15" customHeight="1" x14ac:dyDescent="0.25">
      <c r="B2426" s="281"/>
      <c r="C2426" s="311" t="s">
        <v>3856</v>
      </c>
      <c r="D2426" s="439"/>
      <c r="E2426" s="107">
        <f t="shared" si="182"/>
        <v>2105</v>
      </c>
      <c r="F2426" s="440"/>
      <c r="G2426" s="440"/>
      <c r="H2426" s="312">
        <f>IFERROR(H1974+H1975+H1976+H1977+H1973,"Cek Mitigasi &amp; Penanganan Konflik Sosial")</f>
        <v>25</v>
      </c>
      <c r="I2426" s="475" t="s">
        <v>3596</v>
      </c>
    </row>
    <row r="2427" spans="2:9" ht="15" customHeight="1" x14ac:dyDescent="0.25">
      <c r="B2427" s="281"/>
      <c r="C2427" s="309" t="s">
        <v>3898</v>
      </c>
      <c r="D2427" s="439"/>
      <c r="E2427" s="107">
        <f t="shared" si="182"/>
        <v>2106</v>
      </c>
      <c r="F2427" s="440"/>
      <c r="G2427" s="440"/>
      <c r="H2427" s="310">
        <f>IFERROR(H1979+H1980,"Cek Satkamling")</f>
        <v>7</v>
      </c>
      <c r="I2427" s="475" t="s">
        <v>3596</v>
      </c>
    </row>
    <row r="2428" spans="2:9" ht="15" customHeight="1" x14ac:dyDescent="0.25">
      <c r="B2428" s="281" t="s">
        <v>4350</v>
      </c>
      <c r="C2428" s="307" t="s">
        <v>3902</v>
      </c>
      <c r="D2428" s="439"/>
      <c r="E2428" s="107">
        <f t="shared" si="182"/>
        <v>2107</v>
      </c>
      <c r="F2428" s="440"/>
      <c r="G2428" s="440"/>
      <c r="H2428" s="308">
        <f>IFERROR(H2429+H2430+H2431,"Cek Kembali")</f>
        <v>14</v>
      </c>
      <c r="I2428" s="475" t="s">
        <v>3596</v>
      </c>
    </row>
    <row r="2429" spans="2:9" ht="15" customHeight="1" x14ac:dyDescent="0.25">
      <c r="B2429" s="281"/>
      <c r="C2429" s="309" t="s">
        <v>3903</v>
      </c>
      <c r="D2429" s="439"/>
      <c r="E2429" s="107">
        <f t="shared" si="182"/>
        <v>2108</v>
      </c>
      <c r="F2429" s="440"/>
      <c r="G2429" s="440"/>
      <c r="H2429" s="310">
        <f>IFERROR(H1983+H1984,"Cek Taman Bacaan Desa")</f>
        <v>6</v>
      </c>
      <c r="I2429" s="475" t="s">
        <v>3596</v>
      </c>
    </row>
    <row r="2430" spans="2:9" ht="15" customHeight="1" x14ac:dyDescent="0.25">
      <c r="B2430" s="281"/>
      <c r="C2430" s="309" t="s">
        <v>3907</v>
      </c>
      <c r="D2430" s="439"/>
      <c r="E2430" s="107">
        <f t="shared" si="182"/>
        <v>2109</v>
      </c>
      <c r="F2430" s="440"/>
      <c r="G2430" s="440"/>
      <c r="H2430" s="310">
        <f>IFERROR(VALUE(H1986),"Cek Fasilitas Olahraga")</f>
        <v>4</v>
      </c>
      <c r="I2430" s="475" t="s">
        <v>3596</v>
      </c>
    </row>
    <row r="2431" spans="2:9" ht="15" customHeight="1" x14ac:dyDescent="0.25">
      <c r="B2431" s="281"/>
      <c r="C2431" s="309" t="s">
        <v>3922</v>
      </c>
      <c r="D2431" s="439"/>
      <c r="E2431" s="107">
        <f t="shared" si="182"/>
        <v>2110</v>
      </c>
      <c r="F2431" s="440"/>
      <c r="G2431" s="440"/>
      <c r="H2431" s="310">
        <f>IFERROR(VALUE(H1997),"Cek Keberadaan Ruang Terbuka")</f>
        <v>4</v>
      </c>
      <c r="I2431" s="475" t="s">
        <v>3596</v>
      </c>
    </row>
    <row r="2432" spans="2:9" ht="15" customHeight="1" x14ac:dyDescent="0.25">
      <c r="B2432" s="301">
        <v>3</v>
      </c>
      <c r="C2432" s="302" t="s">
        <v>3935</v>
      </c>
      <c r="D2432" s="441"/>
      <c r="E2432" s="107">
        <f t="shared" si="182"/>
        <v>2111</v>
      </c>
      <c r="F2432" s="442"/>
      <c r="G2432" s="442"/>
      <c r="H2432" s="303">
        <f>IFERROR(H2433+H2438,"Cek Kembali")</f>
        <v>130</v>
      </c>
      <c r="I2432" s="475" t="s">
        <v>3596</v>
      </c>
    </row>
    <row r="2433" spans="2:9" ht="15" customHeight="1" x14ac:dyDescent="0.25">
      <c r="B2433" s="301" t="s">
        <v>4351</v>
      </c>
      <c r="C2433" s="302" t="s">
        <v>3937</v>
      </c>
      <c r="D2433" s="441"/>
      <c r="E2433" s="107">
        <f t="shared" si="182"/>
        <v>2112</v>
      </c>
      <c r="F2433" s="442"/>
      <c r="G2433" s="442"/>
      <c r="H2433" s="303">
        <f>IFERROR(H2434+H2435+H2436+H2437,"Cek Kembali")</f>
        <v>28</v>
      </c>
      <c r="I2433" s="475" t="s">
        <v>3596</v>
      </c>
    </row>
    <row r="2434" spans="2:9" ht="15" customHeight="1" x14ac:dyDescent="0.25">
      <c r="B2434" s="301"/>
      <c r="C2434" s="304" t="s">
        <v>3938</v>
      </c>
      <c r="D2434" s="441"/>
      <c r="E2434" s="107">
        <f t="shared" si="182"/>
        <v>2113</v>
      </c>
      <c r="F2434" s="442"/>
      <c r="G2434" s="442"/>
      <c r="H2434" s="305">
        <f>IFERROR(VALUE(H2009+H2010),"Cek Keragaman Aktivitas Ekonomi")</f>
        <v>10</v>
      </c>
      <c r="I2434" s="475" t="s">
        <v>3596</v>
      </c>
    </row>
    <row r="2435" spans="2:9" ht="15" customHeight="1" x14ac:dyDescent="0.25">
      <c r="B2435" s="301"/>
      <c r="C2435" s="304" t="s">
        <v>3941</v>
      </c>
      <c r="D2435" s="441"/>
      <c r="E2435" s="107">
        <f t="shared" si="182"/>
        <v>2114</v>
      </c>
      <c r="F2435" s="442"/>
      <c r="G2435" s="442"/>
      <c r="H2435" s="305">
        <f>IFERROR(VALUE(H2012+H2013+H2014),"Cek Produk Unggulan Desa")</f>
        <v>11</v>
      </c>
      <c r="I2435" s="475" t="s">
        <v>3596</v>
      </c>
    </row>
    <row r="2436" spans="2:9" ht="15" customHeight="1" x14ac:dyDescent="0.25">
      <c r="B2436" s="301"/>
      <c r="C2436" s="304" t="s">
        <v>3945</v>
      </c>
      <c r="D2436" s="441"/>
      <c r="E2436" s="107">
        <f t="shared" si="182"/>
        <v>2115</v>
      </c>
      <c r="F2436" s="442"/>
      <c r="G2436" s="442"/>
      <c r="H2436" s="305">
        <f>IFERROR(VALUE(H2016),"Cek Ekonomi Kreatif")</f>
        <v>1</v>
      </c>
      <c r="I2436" s="475" t="s">
        <v>3596</v>
      </c>
    </row>
    <row r="2437" spans="2:9" ht="15" customHeight="1" x14ac:dyDescent="0.25">
      <c r="B2437" s="301"/>
      <c r="C2437" s="306" t="s">
        <v>3229</v>
      </c>
      <c r="D2437" s="441"/>
      <c r="E2437" s="107">
        <f t="shared" ref="E2437:E2471" si="183">E2436+1</f>
        <v>2116</v>
      </c>
      <c r="F2437" s="442"/>
      <c r="G2437" s="442"/>
      <c r="H2437" s="305">
        <f>IFERROR(VALUE(H2019+H2020),"Cek Kerjasama Desa")</f>
        <v>6</v>
      </c>
      <c r="I2437" s="475" t="s">
        <v>3596</v>
      </c>
    </row>
    <row r="2438" spans="2:9" ht="15" customHeight="1" x14ac:dyDescent="0.25">
      <c r="B2438" s="301" t="s">
        <v>4352</v>
      </c>
      <c r="C2438" s="302" t="s">
        <v>3951</v>
      </c>
      <c r="D2438" s="441"/>
      <c r="E2438" s="107">
        <f t="shared" si="183"/>
        <v>2117</v>
      </c>
      <c r="F2438" s="442"/>
      <c r="G2438" s="442"/>
      <c r="H2438" s="303">
        <f>IFERROR(H2439+H2440+H2441+H2442+H2443+H2444+H2445+H2446,"Cek Kembali")</f>
        <v>102</v>
      </c>
      <c r="I2438" s="475" t="s">
        <v>3596</v>
      </c>
    </row>
    <row r="2439" spans="2:9" ht="30" customHeight="1" x14ac:dyDescent="0.25">
      <c r="B2439" s="301"/>
      <c r="C2439" s="304" t="s">
        <v>3952</v>
      </c>
      <c r="D2439" s="441"/>
      <c r="E2439" s="107">
        <f t="shared" si="183"/>
        <v>2118</v>
      </c>
      <c r="F2439" s="442"/>
      <c r="G2439" s="442"/>
      <c r="H2439" s="305">
        <f>IFERROR(H2023+H2024,"Cek Akses Pendidikan Non-Formal")</f>
        <v>8</v>
      </c>
      <c r="I2439" s="475" t="s">
        <v>3596</v>
      </c>
    </row>
    <row r="2440" spans="2:9" ht="15" customHeight="1" x14ac:dyDescent="0.25">
      <c r="B2440" s="301"/>
      <c r="C2440" s="304" t="s">
        <v>3959</v>
      </c>
      <c r="D2440" s="441"/>
      <c r="E2440" s="107">
        <f t="shared" si="183"/>
        <v>2119</v>
      </c>
      <c r="F2440" s="442"/>
      <c r="G2440" s="442"/>
      <c r="H2440" s="305">
        <f>IFERROR(VALUE(H2028+H2033),"Cek Pasar Rakyat")</f>
        <v>10</v>
      </c>
      <c r="I2440" s="475" t="s">
        <v>3596</v>
      </c>
    </row>
    <row r="2441" spans="2:9" ht="15" customHeight="1" x14ac:dyDescent="0.25">
      <c r="B2441" s="301"/>
      <c r="C2441" s="306" t="s">
        <v>3970</v>
      </c>
      <c r="D2441" s="441"/>
      <c r="E2441" s="107">
        <f t="shared" si="183"/>
        <v>2120</v>
      </c>
      <c r="F2441" s="442"/>
      <c r="G2441" s="442"/>
      <c r="H2441" s="305">
        <f>IFERROR(VALUE(H2035+H2039),"Cek Toko/Pertokoan")</f>
        <v>10</v>
      </c>
      <c r="I2441" s="475" t="s">
        <v>3596</v>
      </c>
    </row>
    <row r="2442" spans="2:9" ht="15" customHeight="1" x14ac:dyDescent="0.25">
      <c r="B2442" s="301"/>
      <c r="C2442" s="304" t="s">
        <v>3978</v>
      </c>
      <c r="D2442" s="441"/>
      <c r="E2442" s="107">
        <f t="shared" si="183"/>
        <v>2121</v>
      </c>
      <c r="F2442" s="442"/>
      <c r="G2442" s="442"/>
      <c r="H2442" s="305">
        <f>IFERROR(VALUE(H2041+H2045),"Cek Kedai/ Rumah Makan")</f>
        <v>10</v>
      </c>
      <c r="I2442" s="475" t="s">
        <v>3596</v>
      </c>
    </row>
    <row r="2443" spans="2:9" ht="15" customHeight="1" x14ac:dyDescent="0.25">
      <c r="B2443" s="301"/>
      <c r="C2443" s="304" t="s">
        <v>3985</v>
      </c>
      <c r="D2443" s="441"/>
      <c r="E2443" s="107">
        <f t="shared" si="183"/>
        <v>2122</v>
      </c>
      <c r="F2443" s="442"/>
      <c r="G2443" s="442"/>
      <c r="H2443" s="305">
        <f>IFERROR(VALUE(H2047+H2051),"Cek Penginapan")</f>
        <v>10</v>
      </c>
      <c r="I2443" s="475" t="s">
        <v>3596</v>
      </c>
    </row>
    <row r="2444" spans="2:9" ht="15" customHeight="1" x14ac:dyDescent="0.25">
      <c r="B2444" s="301"/>
      <c r="C2444" s="304" t="s">
        <v>4353</v>
      </c>
      <c r="D2444" s="441"/>
      <c r="E2444" s="107">
        <f t="shared" si="183"/>
        <v>2123</v>
      </c>
      <c r="F2444" s="442"/>
      <c r="G2444" s="442"/>
      <c r="H2444" s="305">
        <f>IFERROR(VALUE(H2053+H2057),"Cek Layanan Pos dan/ Logistik")</f>
        <v>7</v>
      </c>
      <c r="I2444" s="475" t="s">
        <v>3596</v>
      </c>
    </row>
    <row r="2445" spans="2:9" ht="15" customHeight="1" x14ac:dyDescent="0.25">
      <c r="B2445" s="301"/>
      <c r="C2445" s="304" t="s">
        <v>4003</v>
      </c>
      <c r="D2445" s="441"/>
      <c r="E2445" s="107">
        <f t="shared" si="183"/>
        <v>2124</v>
      </c>
      <c r="F2445" s="442"/>
      <c r="G2445" s="442"/>
      <c r="H2445" s="305">
        <f>IFERROR(VALUE(H2059+H2060+H2062+H2063+H2064+H2065),"Cek Lembaga Ekonomi")</f>
        <v>25</v>
      </c>
      <c r="I2445" s="475" t="s">
        <v>3596</v>
      </c>
    </row>
    <row r="2446" spans="2:9" ht="15" customHeight="1" x14ac:dyDescent="0.25">
      <c r="B2446" s="301"/>
      <c r="C2446" s="304" t="s">
        <v>4015</v>
      </c>
      <c r="D2446" s="441"/>
      <c r="E2446" s="107">
        <f t="shared" si="183"/>
        <v>2125</v>
      </c>
      <c r="F2446" s="442"/>
      <c r="G2446" s="442"/>
      <c r="H2446" s="305">
        <f>IFERROR(VALUE(H2067+H2068+H2070+H2071+H2072+H2073),"Cek Layanan Keuangan")</f>
        <v>22</v>
      </c>
      <c r="I2446" s="475" t="s">
        <v>3596</v>
      </c>
    </row>
    <row r="2447" spans="2:9" ht="15" customHeight="1" x14ac:dyDescent="0.25">
      <c r="B2447" s="296">
        <v>4</v>
      </c>
      <c r="C2447" s="297" t="s">
        <v>4027</v>
      </c>
      <c r="D2447" s="443"/>
      <c r="E2447" s="107">
        <f t="shared" si="183"/>
        <v>2126</v>
      </c>
      <c r="F2447" s="444"/>
      <c r="G2447" s="444"/>
      <c r="H2447" s="298">
        <f>IFERROR(H2448+H2453,"Cek Kembali")</f>
        <v>64</v>
      </c>
      <c r="I2447" s="475" t="s">
        <v>3596</v>
      </c>
    </row>
    <row r="2448" spans="2:9" ht="15" customHeight="1" x14ac:dyDescent="0.25">
      <c r="B2448" s="296" t="s">
        <v>4354</v>
      </c>
      <c r="C2448" s="297" t="s">
        <v>4029</v>
      </c>
      <c r="D2448" s="443"/>
      <c r="E2448" s="107">
        <f t="shared" si="183"/>
        <v>2127</v>
      </c>
      <c r="F2448" s="444"/>
      <c r="G2448" s="444"/>
      <c r="H2448" s="298">
        <f>IFERROR(VALUE(H2449+H2450+H2451+H2452),"Cek Kembali")</f>
        <v>45</v>
      </c>
      <c r="I2448" s="475" t="s">
        <v>3596</v>
      </c>
    </row>
    <row r="2449" spans="2:9" ht="15" customHeight="1" x14ac:dyDescent="0.25">
      <c r="B2449" s="296"/>
      <c r="C2449" s="299" t="s">
        <v>4030</v>
      </c>
      <c r="D2449" s="443"/>
      <c r="E2449" s="107">
        <f t="shared" si="183"/>
        <v>2128</v>
      </c>
      <c r="F2449" s="444"/>
      <c r="G2449" s="444"/>
      <c r="H2449" s="300">
        <f>IFERROR(VALUE(H2078+H2080+H2081+H2082),"Cek Kearifan Lingkungan")</f>
        <v>8</v>
      </c>
      <c r="I2449" s="475" t="s">
        <v>3596</v>
      </c>
    </row>
    <row r="2450" spans="2:9" ht="15" customHeight="1" x14ac:dyDescent="0.25">
      <c r="B2450" s="296"/>
      <c r="C2450" s="299" t="s">
        <v>4041</v>
      </c>
      <c r="D2450" s="443"/>
      <c r="E2450" s="107">
        <f t="shared" si="183"/>
        <v>2129</v>
      </c>
      <c r="F2450" s="444"/>
      <c r="G2450" s="444"/>
      <c r="H2450" s="300">
        <f>IFERROR(VALUE(H2086+H2088+H2090),"Cek Sistem Pengelolaan Sampah")</f>
        <v>7</v>
      </c>
      <c r="I2450" s="475" t="s">
        <v>3596</v>
      </c>
    </row>
    <row r="2451" spans="2:9" ht="15" customHeight="1" x14ac:dyDescent="0.25">
      <c r="B2451" s="296"/>
      <c r="C2451" s="299" t="s">
        <v>4049</v>
      </c>
      <c r="D2451" s="443"/>
      <c r="E2451" s="107">
        <f t="shared" si="183"/>
        <v>2130</v>
      </c>
      <c r="F2451" s="444"/>
      <c r="G2451" s="444"/>
      <c r="H2451" s="300">
        <f>IFERROR(VALUE(H2097),"Cek Tingkat Pencemaran Lingkungan")</f>
        <v>5</v>
      </c>
      <c r="I2451" s="475" t="s">
        <v>3596</v>
      </c>
    </row>
    <row r="2452" spans="2:9" ht="30" customHeight="1" x14ac:dyDescent="0.25">
      <c r="B2452" s="296"/>
      <c r="C2452" s="299" t="s">
        <v>3751</v>
      </c>
      <c r="D2452" s="443"/>
      <c r="E2452" s="107">
        <f t="shared" si="183"/>
        <v>2131</v>
      </c>
      <c r="F2452" s="444"/>
      <c r="G2452" s="444"/>
      <c r="H2452" s="460">
        <f>IFERROR(VALUE(H1881+H1882+H1884+H1885+H1886),"Cek Sistem Pembuangan Limbah RT")</f>
        <v>25</v>
      </c>
      <c r="I2452" s="475" t="s">
        <v>3596</v>
      </c>
    </row>
    <row r="2453" spans="2:9" ht="15" customHeight="1" x14ac:dyDescent="0.25">
      <c r="B2453" s="296" t="s">
        <v>4355</v>
      </c>
      <c r="C2453" s="297" t="s">
        <v>4059</v>
      </c>
      <c r="D2453" s="443"/>
      <c r="E2453" s="107">
        <f t="shared" si="183"/>
        <v>2132</v>
      </c>
      <c r="F2453" s="444"/>
      <c r="G2453" s="444"/>
      <c r="H2453" s="298">
        <f>IFERROR(VALUE(H2454),"Cek Kembali")</f>
        <v>19</v>
      </c>
      <c r="I2453" s="475" t="s">
        <v>3596</v>
      </c>
    </row>
    <row r="2454" spans="2:9" ht="15" customHeight="1" x14ac:dyDescent="0.25">
      <c r="B2454" s="296"/>
      <c r="C2454" s="299" t="s">
        <v>4060</v>
      </c>
      <c r="D2454" s="443"/>
      <c r="E2454" s="107">
        <f t="shared" si="183"/>
        <v>2133</v>
      </c>
      <c r="F2454" s="444"/>
      <c r="G2454" s="444"/>
      <c r="H2454" s="300">
        <f>IFERROR(VALUE(H2111+H2112+H2116+H2117+H2118),"Cek Penanggulangan Bencana")</f>
        <v>19</v>
      </c>
      <c r="I2454" s="475" t="s">
        <v>3596</v>
      </c>
    </row>
    <row r="2455" spans="2:9" ht="15" customHeight="1" x14ac:dyDescent="0.25">
      <c r="B2455" s="270">
        <v>5</v>
      </c>
      <c r="C2455" s="292" t="s">
        <v>4090</v>
      </c>
      <c r="D2455" s="437"/>
      <c r="E2455" s="107">
        <f t="shared" si="183"/>
        <v>2134</v>
      </c>
      <c r="F2455" s="438"/>
      <c r="G2455" s="438"/>
      <c r="H2455" s="293">
        <f>IFERROR(VALUE(H2456+H2459),"Cek Kembali")</f>
        <v>50</v>
      </c>
      <c r="I2455" s="475" t="s">
        <v>3596</v>
      </c>
    </row>
    <row r="2456" spans="2:9" ht="15" customHeight="1" x14ac:dyDescent="0.25">
      <c r="B2456" s="270" t="s">
        <v>4356</v>
      </c>
      <c r="C2456" s="292" t="s">
        <v>4092</v>
      </c>
      <c r="D2456" s="437"/>
      <c r="E2456" s="107">
        <f t="shared" si="183"/>
        <v>2135</v>
      </c>
      <c r="F2456" s="438"/>
      <c r="G2456" s="438"/>
      <c r="H2456" s="293">
        <f>IFERROR(VALUE(H2457+H2458),"Cek Kembali")</f>
        <v>20</v>
      </c>
      <c r="I2456" s="475" t="s">
        <v>3596</v>
      </c>
    </row>
    <row r="2457" spans="2:9" ht="15" customHeight="1" x14ac:dyDescent="0.25">
      <c r="B2457" s="270"/>
      <c r="C2457" s="294" t="s">
        <v>4093</v>
      </c>
      <c r="D2457" s="437"/>
      <c r="E2457" s="107">
        <f t="shared" si="183"/>
        <v>2136</v>
      </c>
      <c r="F2457" s="438"/>
      <c r="G2457" s="438"/>
      <c r="H2457" s="295">
        <f>IFERROR(VALUE(H2122+H2128),"Cek Kondisi Jalan di Desa")</f>
        <v>10</v>
      </c>
      <c r="I2457" s="475" t="s">
        <v>3596</v>
      </c>
    </row>
    <row r="2458" spans="2:9" ht="15" customHeight="1" x14ac:dyDescent="0.25">
      <c r="B2458" s="270"/>
      <c r="C2458" s="294" t="s">
        <v>4105</v>
      </c>
      <c r="D2458" s="437"/>
      <c r="E2458" s="107">
        <f t="shared" si="183"/>
        <v>2137</v>
      </c>
      <c r="F2458" s="438"/>
      <c r="G2458" s="438"/>
      <c r="H2458" s="295">
        <f>IFERROR(VALUE(H2130+H2131),"Cek Kondisi PJU di Desa")</f>
        <v>10</v>
      </c>
      <c r="I2458" s="475" t="s">
        <v>3596</v>
      </c>
    </row>
    <row r="2459" spans="2:9" ht="15" customHeight="1" x14ac:dyDescent="0.25">
      <c r="B2459" s="270" t="s">
        <v>4357</v>
      </c>
      <c r="C2459" s="292" t="s">
        <v>4110</v>
      </c>
      <c r="D2459" s="437"/>
      <c r="E2459" s="107">
        <f t="shared" si="183"/>
        <v>2138</v>
      </c>
      <c r="F2459" s="438"/>
      <c r="G2459" s="438"/>
      <c r="H2459" s="293">
        <f>IFERROR(VALUE(H2460+H2461+H2462),"Cek Kembali")</f>
        <v>30</v>
      </c>
      <c r="I2459" s="475" t="s">
        <v>3596</v>
      </c>
    </row>
    <row r="2460" spans="2:9" ht="30" customHeight="1" x14ac:dyDescent="0.25">
      <c r="B2460" s="270"/>
      <c r="C2460" s="294" t="s">
        <v>4111</v>
      </c>
      <c r="D2460" s="437"/>
      <c r="E2460" s="107">
        <f t="shared" si="183"/>
        <v>2139</v>
      </c>
      <c r="F2460" s="438"/>
      <c r="G2460" s="438"/>
      <c r="H2460" s="295">
        <f>IFERROR(VALUE(H2134+H2135),"Cek Keberadaan Angkutan Perdesaan")</f>
        <v>10</v>
      </c>
      <c r="I2460" s="475" t="s">
        <v>3596</v>
      </c>
    </row>
    <row r="2461" spans="2:9" ht="15" customHeight="1" x14ac:dyDescent="0.25">
      <c r="B2461" s="270"/>
      <c r="C2461" s="294" t="s">
        <v>1953</v>
      </c>
      <c r="D2461" s="437"/>
      <c r="E2461" s="107">
        <f t="shared" si="183"/>
        <v>2140</v>
      </c>
      <c r="F2461" s="438"/>
      <c r="G2461" s="438"/>
      <c r="H2461" s="276">
        <f>IFERROR(VALUE(H1902+H1903),"Cek Akses Listrik")</f>
        <v>10</v>
      </c>
      <c r="I2461" s="475" t="s">
        <v>3596</v>
      </c>
    </row>
    <row r="2462" spans="2:9" ht="15" customHeight="1" x14ac:dyDescent="0.25">
      <c r="B2462" s="270"/>
      <c r="C2462" s="294" t="s">
        <v>3803</v>
      </c>
      <c r="D2462" s="437"/>
      <c r="E2462" s="107">
        <f t="shared" si="183"/>
        <v>2141</v>
      </c>
      <c r="F2462" s="438"/>
      <c r="G2462" s="438"/>
      <c r="H2462" s="280">
        <f>IFERROR(VALUE(H1915+H1916),"Cek Layanan Telekomunikasi")</f>
        <v>10</v>
      </c>
      <c r="I2462" s="475" t="s">
        <v>3596</v>
      </c>
    </row>
    <row r="2463" spans="2:9" ht="15" customHeight="1" x14ac:dyDescent="0.25">
      <c r="B2463" s="286">
        <v>6</v>
      </c>
      <c r="C2463" s="287" t="s">
        <v>4124</v>
      </c>
      <c r="D2463" s="445"/>
      <c r="E2463" s="107">
        <f t="shared" si="183"/>
        <v>2142</v>
      </c>
      <c r="F2463" s="446"/>
      <c r="G2463" s="446"/>
      <c r="H2463" s="288">
        <f>IFERROR(VALUE(H2464+H2468),"Cek Kembali")</f>
        <v>49</v>
      </c>
      <c r="I2463" s="475" t="s">
        <v>3596</v>
      </c>
    </row>
    <row r="2464" spans="2:9" ht="15" customHeight="1" x14ac:dyDescent="0.25">
      <c r="B2464" s="286" t="s">
        <v>4358</v>
      </c>
      <c r="C2464" s="287" t="s">
        <v>4125</v>
      </c>
      <c r="D2464" s="445"/>
      <c r="E2464" s="107">
        <f t="shared" si="183"/>
        <v>2143</v>
      </c>
      <c r="F2464" s="446"/>
      <c r="G2464" s="446"/>
      <c r="H2464" s="288">
        <f>IFERROR(VALUE(H2465+H2466+H2467),"Cek Kembali")</f>
        <v>33</v>
      </c>
      <c r="I2464" s="475" t="s">
        <v>3596</v>
      </c>
    </row>
    <row r="2465" spans="2:9" ht="15" customHeight="1" x14ac:dyDescent="0.25">
      <c r="B2465" s="286"/>
      <c r="C2465" s="289" t="s">
        <v>4126</v>
      </c>
      <c r="D2465" s="445"/>
      <c r="E2465" s="107">
        <f t="shared" si="183"/>
        <v>2144</v>
      </c>
      <c r="F2465" s="446"/>
      <c r="G2465" s="446"/>
      <c r="H2465" s="290">
        <f>IFERROR(VALUE(H2148),"Cek Pelayanan &amp; Administrasi Desa")</f>
        <v>3</v>
      </c>
      <c r="I2465" s="475" t="s">
        <v>3596</v>
      </c>
    </row>
    <row r="2466" spans="2:9" ht="15" customHeight="1" x14ac:dyDescent="0.25">
      <c r="B2466" s="286"/>
      <c r="C2466" s="289" t="s">
        <v>4215</v>
      </c>
      <c r="D2466" s="445"/>
      <c r="E2466" s="107">
        <f t="shared" si="183"/>
        <v>2145</v>
      </c>
      <c r="F2466" s="446"/>
      <c r="G2466" s="446"/>
      <c r="H2466" s="290">
        <f>IFERROR(VALUE(H2211+H2212+H2213+H2214),"Cek Pemanfaatan Teknologi Pelayanan Desa (SPBE)")</f>
        <v>20</v>
      </c>
      <c r="I2466" s="475" t="s">
        <v>3596</v>
      </c>
    </row>
    <row r="2467" spans="2:9" ht="15" customHeight="1" x14ac:dyDescent="0.25">
      <c r="B2467" s="286"/>
      <c r="C2467" s="289" t="s">
        <v>4223</v>
      </c>
      <c r="D2467" s="445"/>
      <c r="E2467" s="107">
        <f t="shared" si="183"/>
        <v>2146</v>
      </c>
      <c r="F2467" s="446"/>
      <c r="G2467" s="446"/>
      <c r="H2467" s="290">
        <f>IFERROR(VALUE(H2217+H2222),"Cek Musyawarah Desa")</f>
        <v>10</v>
      </c>
      <c r="I2467" s="475" t="s">
        <v>3596</v>
      </c>
    </row>
    <row r="2468" spans="2:9" ht="15" customHeight="1" x14ac:dyDescent="0.25">
      <c r="B2468" s="286" t="s">
        <v>4359</v>
      </c>
      <c r="C2468" s="287" t="s">
        <v>4239</v>
      </c>
      <c r="D2468" s="445"/>
      <c r="E2468" s="107">
        <f t="shared" si="183"/>
        <v>2147</v>
      </c>
      <c r="F2468" s="446"/>
      <c r="G2468" s="446"/>
      <c r="H2468" s="288">
        <f>IFERROR(VALUE(H2469+H2469),"Cek Kembali")</f>
        <v>16</v>
      </c>
      <c r="I2468" s="475" t="s">
        <v>3596</v>
      </c>
    </row>
    <row r="2469" spans="2:9" ht="15" customHeight="1" x14ac:dyDescent="0.25">
      <c r="B2469" s="286"/>
      <c r="C2469" s="289" t="s">
        <v>4240</v>
      </c>
      <c r="D2469" s="445"/>
      <c r="E2469" s="107">
        <f t="shared" si="183"/>
        <v>2148</v>
      </c>
      <c r="F2469" s="446"/>
      <c r="G2469" s="446"/>
      <c r="H2469" s="291">
        <f>IFERROR(VALUE(H2230+H2238+H2239),"Cek PADes dan Dana Desa")</f>
        <v>8</v>
      </c>
      <c r="I2469" s="475" t="s">
        <v>3596</v>
      </c>
    </row>
    <row r="2470" spans="2:9" ht="15" customHeight="1" x14ac:dyDescent="0.25">
      <c r="B2470" s="286"/>
      <c r="C2470" s="289" t="s">
        <v>4259</v>
      </c>
      <c r="D2470" s="445"/>
      <c r="E2470" s="107">
        <f t="shared" si="183"/>
        <v>2149</v>
      </c>
      <c r="F2470" s="446"/>
      <c r="G2470" s="446"/>
      <c r="H2470" s="291">
        <f>IFERROR(VALUE(H2245+H2246+H2247+H2248+H2249+H2250),"Cek Jumlah Aset Desa")</f>
        <v>25</v>
      </c>
      <c r="I2470" s="475" t="s">
        <v>3596</v>
      </c>
    </row>
    <row r="2471" spans="2:9" ht="15" customHeight="1" x14ac:dyDescent="0.25">
      <c r="B2471" s="447"/>
      <c r="C2471" s="448" t="s">
        <v>4360</v>
      </c>
      <c r="D2471" s="449"/>
      <c r="E2471" s="107">
        <f t="shared" si="183"/>
        <v>2150</v>
      </c>
      <c r="F2471" s="450"/>
      <c r="G2471" s="450"/>
      <c r="H2471" s="451">
        <f>IFERROR(VALUE(H2404+H2421+H2432+H2447+H2455+H2463),"CEK KEMBALI INPUTAN ANDA")</f>
        <v>501</v>
      </c>
      <c r="I2471" s="475" t="s">
        <v>3596</v>
      </c>
    </row>
  </sheetData>
  <sheetProtection algorithmName="SHA-512" hashValue="QlVNAQ+2dib99C2rPfKuKmKKG/LaTZNhAv6PCrmg4xIWKEG2MchIPovwoJXyKli0ta47i8xU+8aOFmkkUPpRyA==" saltValue="RqSBl2ACsn87Nw+2g9bFmQ==" spinCount="100000" sheet="1" objects="1" scenarios="1"/>
  <autoFilter ref="B4:K2253" xr:uid="{00000000-0009-0000-0000-000001000000}"/>
  <mergeCells count="409">
    <mergeCell ref="B2403:H2403"/>
    <mergeCell ref="A2228:B2228"/>
    <mergeCell ref="A2243:B2243"/>
    <mergeCell ref="A2251:B2251"/>
    <mergeCell ref="B1711:H1711"/>
    <mergeCell ref="C1732:H1732"/>
    <mergeCell ref="C1733:H1733"/>
    <mergeCell ref="A2046:B2046"/>
    <mergeCell ref="A2052:B2052"/>
    <mergeCell ref="A2058:B2058"/>
    <mergeCell ref="A2066:B2066"/>
    <mergeCell ref="A2074:B2074"/>
    <mergeCell ref="A2085:B2085"/>
    <mergeCell ref="A2092:B2092"/>
    <mergeCell ref="A2098:B2098"/>
    <mergeCell ref="A2119:B2119"/>
    <mergeCell ref="A1887:B1887"/>
    <mergeCell ref="A1900:B1900"/>
    <mergeCell ref="A1914:B1914"/>
    <mergeCell ref="A1923:B1923"/>
    <mergeCell ref="A1996:B1996"/>
    <mergeCell ref="A2006:B2006"/>
    <mergeCell ref="A2011:B2011"/>
    <mergeCell ref="A2229:B2229"/>
    <mergeCell ref="A1732:B1732"/>
    <mergeCell ref="A1746:B1746"/>
    <mergeCell ref="A1758:B1758"/>
    <mergeCell ref="A1770:B1770"/>
    <mergeCell ref="A1782:B1782"/>
    <mergeCell ref="A1788:B1788"/>
    <mergeCell ref="A1809:B1809"/>
    <mergeCell ref="A1816:B1816"/>
    <mergeCell ref="A1824:B1824"/>
    <mergeCell ref="A1842:B1842"/>
    <mergeCell ref="A1860:B1860"/>
    <mergeCell ref="A1872:B1872"/>
    <mergeCell ref="A1942:B1942"/>
    <mergeCell ref="A1953:B1953"/>
    <mergeCell ref="A1978:B1978"/>
    <mergeCell ref="A1981:B1981"/>
    <mergeCell ref="A2040:B2040"/>
    <mergeCell ref="A2191:B2191"/>
    <mergeCell ref="A2198:B2198"/>
    <mergeCell ref="A2201:B2201"/>
    <mergeCell ref="A2210:B2210"/>
    <mergeCell ref="A2216:B2216"/>
    <mergeCell ref="A1927:B1927"/>
    <mergeCell ref="A1934:B1934"/>
    <mergeCell ref="A2147:B2147"/>
    <mergeCell ref="A2186:B2186"/>
    <mergeCell ref="A2189:B2189"/>
    <mergeCell ref="A2099:B2099"/>
    <mergeCell ref="A2120:B2120"/>
    <mergeCell ref="A2121:B2121"/>
    <mergeCell ref="A2133:B2133"/>
    <mergeCell ref="A2146:B2146"/>
    <mergeCell ref="A2129:B2129"/>
    <mergeCell ref="A2132:B2132"/>
    <mergeCell ref="A2145:B2145"/>
    <mergeCell ref="A2075:B2075"/>
    <mergeCell ref="A2076:B2076"/>
    <mergeCell ref="A2022:B2022"/>
    <mergeCell ref="A1985:B1985"/>
    <mergeCell ref="A1982:B1982"/>
    <mergeCell ref="A2007:B2007"/>
    <mergeCell ref="A2008:B2008"/>
    <mergeCell ref="A2015:B2015"/>
    <mergeCell ref="A1928:B1928"/>
    <mergeCell ref="A1929:B1929"/>
    <mergeCell ref="A2018:B2018"/>
    <mergeCell ref="A2021:B2021"/>
    <mergeCell ref="A2027:B2027"/>
    <mergeCell ref="A2034:B2034"/>
    <mergeCell ref="C1462:D1462"/>
    <mergeCell ref="B1475:B1478"/>
    <mergeCell ref="B1542:D1542"/>
    <mergeCell ref="B1610:D1610"/>
    <mergeCell ref="B1625:D1625"/>
    <mergeCell ref="B1593:D1593"/>
    <mergeCell ref="B1621:B1624"/>
    <mergeCell ref="B1594:B1607"/>
    <mergeCell ref="B1691:B1694"/>
    <mergeCell ref="B1633:B1638"/>
    <mergeCell ref="B1627:B1632"/>
    <mergeCell ref="B175:B181"/>
    <mergeCell ref="B182:B188"/>
    <mergeCell ref="B189:B195"/>
    <mergeCell ref="B196:B203"/>
    <mergeCell ref="B205:B211"/>
    <mergeCell ref="A1789:B1789"/>
    <mergeCell ref="A1878:B1878"/>
    <mergeCell ref="A1733:B1733"/>
    <mergeCell ref="A1734:B1734"/>
    <mergeCell ref="B1695:D1695"/>
    <mergeCell ref="A1877:B1877"/>
    <mergeCell ref="B226:B232"/>
    <mergeCell ref="B233:B240"/>
    <mergeCell ref="B1274:B1276"/>
    <mergeCell ref="B656:B657"/>
    <mergeCell ref="B1185:B1187"/>
    <mergeCell ref="B1188:B1191"/>
    <mergeCell ref="B1192:B1194"/>
    <mergeCell ref="B1195:B1197"/>
    <mergeCell ref="B1198:B1200"/>
    <mergeCell ref="B1201:B1203"/>
    <mergeCell ref="B1220:B1222"/>
    <mergeCell ref="B1223:B1225"/>
    <mergeCell ref="B1204:B1206"/>
    <mergeCell ref="B1158:B1160"/>
    <mergeCell ref="B1380:B1383"/>
    <mergeCell ref="B1376:B1379"/>
    <mergeCell ref="B1372:B1375"/>
    <mergeCell ref="B1303:B1305"/>
    <mergeCell ref="B1306:B1308"/>
    <mergeCell ref="B1310:B1312"/>
    <mergeCell ref="B1313:B1315"/>
    <mergeCell ref="B1317:B1319"/>
    <mergeCell ref="B1320:B1322"/>
    <mergeCell ref="B1324:B1326"/>
    <mergeCell ref="B1327:B1329"/>
    <mergeCell ref="B1351:B1352"/>
    <mergeCell ref="B1335:B1342"/>
    <mergeCell ref="B1332:B1333"/>
    <mergeCell ref="B1100:B1102"/>
    <mergeCell ref="B1161:B1163"/>
    <mergeCell ref="B1164:B1166"/>
    <mergeCell ref="B1167:B1169"/>
    <mergeCell ref="B1170:B1172"/>
    <mergeCell ref="B1173:B1175"/>
    <mergeCell ref="B1277:B1279"/>
    <mergeCell ref="B1238:B1240"/>
    <mergeCell ref="B1241:B1243"/>
    <mergeCell ref="B1244:B1246"/>
    <mergeCell ref="B1247:B1249"/>
    <mergeCell ref="B1250:B1252"/>
    <mergeCell ref="B1253:B1255"/>
    <mergeCell ref="B1259:B1261"/>
    <mergeCell ref="B1262:B1264"/>
    <mergeCell ref="B1211:B1213"/>
    <mergeCell ref="B1214:B1216"/>
    <mergeCell ref="B1217:B1219"/>
    <mergeCell ref="B1127:B1129"/>
    <mergeCell ref="B1109:B1111"/>
    <mergeCell ref="B1226:B1228"/>
    <mergeCell ref="B1229:B1231"/>
    <mergeCell ref="B1232:B1234"/>
    <mergeCell ref="B1130:B1132"/>
    <mergeCell ref="B1137:B1139"/>
    <mergeCell ref="B1133:B1135"/>
    <mergeCell ref="B1140:B1142"/>
    <mergeCell ref="B1143:B1145"/>
    <mergeCell ref="B1146:B1148"/>
    <mergeCell ref="B1149:B1151"/>
    <mergeCell ref="B1152:B1154"/>
    <mergeCell ref="B1155:B1157"/>
    <mergeCell ref="B1182:B1184"/>
    <mergeCell ref="B1176:B1178"/>
    <mergeCell ref="B1179:B1181"/>
    <mergeCell ref="B1115:B1117"/>
    <mergeCell ref="B1118:B1120"/>
    <mergeCell ref="B1121:B1123"/>
    <mergeCell ref="B1124:B1126"/>
    <mergeCell ref="B1079:B1081"/>
    <mergeCell ref="B1097:B1099"/>
    <mergeCell ref="B1355:B1356"/>
    <mergeCell ref="B932:B940"/>
    <mergeCell ref="B944:B947"/>
    <mergeCell ref="B1502:D1502"/>
    <mergeCell ref="B1367:B1368"/>
    <mergeCell ref="B1369:B1370"/>
    <mergeCell ref="B1385:B1386"/>
    <mergeCell ref="B1390:B1394"/>
    <mergeCell ref="B1472:D1472"/>
    <mergeCell ref="B1487:B1497"/>
    <mergeCell ref="B1498:B1501"/>
    <mergeCell ref="B1330:B1331"/>
    <mergeCell ref="B1387:B1388"/>
    <mergeCell ref="B1479:B1481"/>
    <mergeCell ref="B1344:B1349"/>
    <mergeCell ref="B1082:B1084"/>
    <mergeCell ref="B1085:B1087"/>
    <mergeCell ref="B1235:B1237"/>
    <mergeCell ref="B1265:B1267"/>
    <mergeCell ref="B1268:B1271"/>
    <mergeCell ref="B1256:B1258"/>
    <mergeCell ref="B1208:B1210"/>
    <mergeCell ref="C1512:D1512"/>
    <mergeCell ref="B1518:B1523"/>
    <mergeCell ref="B1503:B1504"/>
    <mergeCell ref="B1611:B1619"/>
    <mergeCell ref="B1546:B1554"/>
    <mergeCell ref="C1555:D1555"/>
    <mergeCell ref="B1556:B1564"/>
    <mergeCell ref="C1565:D1565"/>
    <mergeCell ref="B1566:B1571"/>
    <mergeCell ref="B1573:B1574"/>
    <mergeCell ref="C1581:D1581"/>
    <mergeCell ref="B1582:B1592"/>
    <mergeCell ref="B1000:B1003"/>
    <mergeCell ref="B1004:B1007"/>
    <mergeCell ref="B1008:B1011"/>
    <mergeCell ref="B1012:B1015"/>
    <mergeCell ref="B1016:B1019"/>
    <mergeCell ref="B1066:B1068"/>
    <mergeCell ref="B1069:B1071"/>
    <mergeCell ref="B1072:B1074"/>
    <mergeCell ref="B1075:B1078"/>
    <mergeCell ref="B956:D956"/>
    <mergeCell ref="B960:B963"/>
    <mergeCell ref="B964:B967"/>
    <mergeCell ref="B968:B971"/>
    <mergeCell ref="B926:B929"/>
    <mergeCell ref="B1103:B1105"/>
    <mergeCell ref="B1288:B1290"/>
    <mergeCell ref="B1106:B1108"/>
    <mergeCell ref="B1088:B1090"/>
    <mergeCell ref="B949:B952"/>
    <mergeCell ref="B972:B975"/>
    <mergeCell ref="B976:B979"/>
    <mergeCell ref="B980:B983"/>
    <mergeCell ref="B1281:B1283"/>
    <mergeCell ref="B1284:B1286"/>
    <mergeCell ref="B1091:B1093"/>
    <mergeCell ref="B1094:B1096"/>
    <mergeCell ref="B1060:B1062"/>
    <mergeCell ref="B1063:B1065"/>
    <mergeCell ref="B1112:B1114"/>
    <mergeCell ref="B984:B987"/>
    <mergeCell ref="B988:B991"/>
    <mergeCell ref="B992:B995"/>
    <mergeCell ref="B996:B999"/>
    <mergeCell ref="B1:H1"/>
    <mergeCell ref="B3:E3"/>
    <mergeCell ref="B12:D12"/>
    <mergeCell ref="B31:B33"/>
    <mergeCell ref="B77:B90"/>
    <mergeCell ref="B19:B20"/>
    <mergeCell ref="B21:B22"/>
    <mergeCell ref="B23:B24"/>
    <mergeCell ref="B25:B26"/>
    <mergeCell ref="B5:E5"/>
    <mergeCell ref="B28:B30"/>
    <mergeCell ref="B14:B15"/>
    <mergeCell ref="B47:B50"/>
    <mergeCell ref="B52:B55"/>
    <mergeCell ref="B56:B59"/>
    <mergeCell ref="B60:B63"/>
    <mergeCell ref="B65:B68"/>
    <mergeCell ref="B69:B72"/>
    <mergeCell ref="B73:B76"/>
    <mergeCell ref="B877:B878"/>
    <mergeCell ref="B879:B880"/>
    <mergeCell ref="B550:B552"/>
    <mergeCell ref="B546:B548"/>
    <mergeCell ref="B542:B544"/>
    <mergeCell ref="B366:B371"/>
    <mergeCell ref="B384:B390"/>
    <mergeCell ref="B290:B295"/>
    <mergeCell ref="B416:B424"/>
    <mergeCell ref="B425:B433"/>
    <mergeCell ref="B434:B442"/>
    <mergeCell ref="B443:B451"/>
    <mergeCell ref="B452:B460"/>
    <mergeCell ref="B284:B289"/>
    <mergeCell ref="B278:B283"/>
    <mergeCell ref="B354:B359"/>
    <mergeCell ref="B360:B365"/>
    <mergeCell ref="B398:B406"/>
    <mergeCell ref="B322:B327"/>
    <mergeCell ref="B328:B333"/>
    <mergeCell ref="B378:B383"/>
    <mergeCell ref="B91:D91"/>
    <mergeCell ref="C534:C536"/>
    <mergeCell ref="B578:B580"/>
    <mergeCell ref="B574:B576"/>
    <mergeCell ref="B570:B572"/>
    <mergeCell ref="B566:B568"/>
    <mergeCell ref="B586:B587"/>
    <mergeCell ref="B582:B584"/>
    <mergeCell ref="B511:B536"/>
    <mergeCell ref="B503:B508"/>
    <mergeCell ref="B562:B564"/>
    <mergeCell ref="B558:B560"/>
    <mergeCell ref="B554:B556"/>
    <mergeCell ref="B98:B113"/>
    <mergeCell ref="B117:B123"/>
    <mergeCell ref="B124:B130"/>
    <mergeCell ref="B131:B137"/>
    <mergeCell ref="B138:B144"/>
    <mergeCell ref="B145:B151"/>
    <mergeCell ref="B152:B158"/>
    <mergeCell ref="B159:B165"/>
    <mergeCell ref="B166:B173"/>
    <mergeCell ref="B212:B218"/>
    <mergeCell ref="B219:B225"/>
    <mergeCell ref="B244:B258"/>
    <mergeCell ref="B259:B261"/>
    <mergeCell ref="B539:D539"/>
    <mergeCell ref="B589:B590"/>
    <mergeCell ref="B592:B593"/>
    <mergeCell ref="B595:B599"/>
    <mergeCell ref="B600:B604"/>
    <mergeCell ref="B606:B607"/>
    <mergeCell ref="B296:B302"/>
    <mergeCell ref="B304:B309"/>
    <mergeCell ref="B310:B315"/>
    <mergeCell ref="B316:B321"/>
    <mergeCell ref="B461:B469"/>
    <mergeCell ref="B481:B482"/>
    <mergeCell ref="B483:B484"/>
    <mergeCell ref="B272:B277"/>
    <mergeCell ref="B334:B340"/>
    <mergeCell ref="B342:B347"/>
    <mergeCell ref="B348:B353"/>
    <mergeCell ref="B372:B377"/>
    <mergeCell ref="C784:C785"/>
    <mergeCell ref="B614:B616"/>
    <mergeCell ref="B610:B612"/>
    <mergeCell ref="B266:B271"/>
    <mergeCell ref="B736:B758"/>
    <mergeCell ref="B759:B763"/>
    <mergeCell ref="B617:B621"/>
    <mergeCell ref="B683:B687"/>
    <mergeCell ref="B690:B699"/>
    <mergeCell ref="B707:B711"/>
    <mergeCell ref="B713:B723"/>
    <mergeCell ref="B673:B677"/>
    <mergeCell ref="B678:B682"/>
    <mergeCell ref="B729:B730"/>
    <mergeCell ref="B732:B733"/>
    <mergeCell ref="B671:D671"/>
    <mergeCell ref="B470:B479"/>
    <mergeCell ref="B407:B415"/>
    <mergeCell ref="B905:B909"/>
    <mergeCell ref="B918:B925"/>
    <mergeCell ref="B829:B838"/>
    <mergeCell ref="B820:B827"/>
    <mergeCell ref="B702:B703"/>
    <mergeCell ref="B786:B791"/>
    <mergeCell ref="B796:B800"/>
    <mergeCell ref="B804:B813"/>
    <mergeCell ref="B840:B854"/>
    <mergeCell ref="B866:B869"/>
    <mergeCell ref="B704:B705"/>
    <mergeCell ref="B725:B726"/>
    <mergeCell ref="B734:B735"/>
    <mergeCell ref="B793:B795"/>
    <mergeCell ref="B881:B882"/>
    <mergeCell ref="B884:B893"/>
    <mergeCell ref="B855:B862"/>
    <mergeCell ref="B914:B915"/>
    <mergeCell ref="B814:B819"/>
    <mergeCell ref="B629:B632"/>
    <mergeCell ref="B633:B636"/>
    <mergeCell ref="B871:B873"/>
    <mergeCell ref="B916:B917"/>
    <mergeCell ref="B766:B775"/>
    <mergeCell ref="B778:B785"/>
    <mergeCell ref="B864:D864"/>
    <mergeCell ref="B895:B903"/>
    <mergeCell ref="B485:B490"/>
    <mergeCell ref="B654:B655"/>
    <mergeCell ref="B875:B876"/>
    <mergeCell ref="B392:B396"/>
    <mergeCell ref="C1696:D1696"/>
    <mergeCell ref="C1701:D1701"/>
    <mergeCell ref="B1020:B1023"/>
    <mergeCell ref="B1024:B1027"/>
    <mergeCell ref="B1028:B1031"/>
    <mergeCell ref="B1032:B1035"/>
    <mergeCell ref="B1038:B1040"/>
    <mergeCell ref="B1041:B1043"/>
    <mergeCell ref="B1044:B1046"/>
    <mergeCell ref="B1047:B1049"/>
    <mergeCell ref="B1050:B1053"/>
    <mergeCell ref="B1054:B1056"/>
    <mergeCell ref="B1057:B1059"/>
    <mergeCell ref="B637:B644"/>
    <mergeCell ref="B646:B647"/>
    <mergeCell ref="B648:B649"/>
    <mergeCell ref="B650:B651"/>
    <mergeCell ref="B652:B653"/>
    <mergeCell ref="B622:B623"/>
    <mergeCell ref="B625:B626"/>
    <mergeCell ref="B627:B628"/>
    <mergeCell ref="C1706:D1706"/>
    <mergeCell ref="B1532:B1540"/>
    <mergeCell ref="B1291:B1293"/>
    <mergeCell ref="B1295:B1297"/>
    <mergeCell ref="B1298:B1300"/>
    <mergeCell ref="B1397:B1399"/>
    <mergeCell ref="B1450:B1459"/>
    <mergeCell ref="B1447:B1448"/>
    <mergeCell ref="B1442:B1446"/>
    <mergeCell ref="B1438:B1441"/>
    <mergeCell ref="B1431:B1437"/>
    <mergeCell ref="B1422:B1430"/>
    <mergeCell ref="B1414:B1421"/>
    <mergeCell ref="B1409:B1413"/>
    <mergeCell ref="B1404:B1408"/>
    <mergeCell ref="B1400:B1403"/>
    <mergeCell ref="B1640:B1648"/>
    <mergeCell ref="B1359:B1361"/>
    <mergeCell ref="B1678:B1685"/>
    <mergeCell ref="B1664:B1668"/>
    <mergeCell ref="B1670:B1677"/>
    <mergeCell ref="B1649:B1657"/>
    <mergeCell ref="B1687:B1690"/>
    <mergeCell ref="B1659:B1663"/>
  </mergeCells>
  <dataValidations count="1682">
    <dataValidation allowBlank="1" showInputMessage="1" showErrorMessage="1" promptTitle="Jenis Program Kerja Lainnya" prompt=" " sqref="H1592 E1530:G1530" xr:uid="{00000000-0002-0000-0100-000000000000}"/>
    <dataValidation type="decimal" operator="lessThanOrEqual" allowBlank="1" showInputMessage="1" showErrorMessage="1" error="Tidak Tedapat Tambang Pasir Batu_x000a_Diisi 0 (NOL)" promptTitle="Luas Tambang Pasir Batu" prompt="(Dalam Satuan Luas Ha)_x000a_1 Km2 = 100 Ha" sqref="H361" xr:uid="{00000000-0002-0000-0100-000003000000}">
      <formula1>IF(H360="Tidak Ada",0,25000)</formula1>
    </dataValidation>
    <dataValidation type="list" allowBlank="1" showInputMessage="1" showErrorMessage="1" promptTitle="Unggulan 2 Obat Pasar Ekspor" prompt="-, Jahe, Jahe Merah, Kunyit, Kunyit Putih, Lengkuas/Laos, Kencur, Temulawak, Lidah Buaya, Kumis Kucing, Kemangi, Sirih, Ketumbar, Sambiloto, Gingko Giloba, Bangle, Mengkudu, Kayu Manis, Jintan Hitam, Kapulaga, Sereh, Lainnya" sqref="H1327" xr:uid="{00000000-0002-0000-0100-000004000000}">
      <formula1>$K$1207:$K$1228</formula1>
    </dataValidation>
    <dataValidation type="whole" operator="lessThanOrEqual" allowBlank="1" showInputMessage="1" showErrorMessage="1" error="Tidak Terdapat Gudang Pangan Milik Swasta di Desa._x000a_Diisi 0 (NOL)" sqref="H1378" xr:uid="{00000000-0002-0000-0100-000005000000}">
      <formula1>IF(H1376="tidak ada",0,25000)</formula1>
    </dataValidation>
    <dataValidation type="decimal" allowBlank="1" showInputMessage="1" showErrorMessage="1" promptTitle="Total Produksi Panen dalam 1 Thn" prompt="Sebutkan (Ton Per Tahun)" sqref="H1126" xr:uid="{00000000-0002-0000-0100-000006000000}">
      <formula1>0</formula1>
      <formula2>IF(H1038="Tidak ada",0,25000)</formula2>
    </dataValidation>
    <dataValidation type="list" showInputMessage="1" showErrorMessage="1" promptTitle="Kerjasama Desa 1 Kecamatan" prompt="Terdapat Kerjasama Desa dalam 1 Kecamatan_x000a_0: Tidak Ada_x000a_1: Ada" sqref="H1546 H1556" xr:uid="{00000000-0002-0000-0100-000007000000}">
      <formula1>"0,1"</formula1>
    </dataValidation>
    <dataValidation type="list" showInputMessage="1" showErrorMessage="1" promptTitle="Adanya Warga Beragama Buddha" prompt="Keterangan:_x000a_0 : Tidak Ada_x000a_1 : Ada" sqref="H781" xr:uid="{00000000-0002-0000-0100-000008000000}">
      <formula1>"0,1"</formula1>
    </dataValidation>
    <dataValidation type="decimal" allowBlank="1" showInputMessage="1" showErrorMessage="1" error="Tidak Terdapat Pelayanan Jasa Ekspedisi di Desa._x000a_Diisi 0 (NOL)" promptTitle="Jarak Jasa Ekspedisi T'dekat" prompt="(Meter)" sqref="H1370" xr:uid="{00000000-0002-0000-0100-000009000000}">
      <formula1>0</formula1>
      <formula2>IF(H1369=0,0,25000)</formula2>
    </dataValidation>
    <dataValidation type="textLength" operator="equal" allowBlank="1" showInputMessage="1" showErrorMessage="1" error="KODE KECAMATAN 6 DIGIT" promptTitle="Permendagri Tahun 2022" prompt="Permendagri No.100.1.1-6117 Tahun 2022" sqref="H23" xr:uid="{00000000-0002-0000-0100-00000A000000}">
      <formula1>6</formula1>
    </dataValidation>
    <dataValidation type="whole" operator="lessThanOrEqual" allowBlank="1" showInputMessage="1" showErrorMessage="1" promptTitle="Jarak RA T'dekat" prompt=" " sqref="H716" xr:uid="{00000000-0002-0000-0100-00000B000000}">
      <formula1>25000</formula1>
    </dataValidation>
    <dataValidation type="list" allowBlank="1" showInputMessage="1" showErrorMessage="1" promptTitle="Terdapat Produk Unggulan " prompt="Ada_x000a_Tidak Ada" sqref="H1050 H1152 H1140 H1072 H1192 H1115 H1100 H1085 H1167 H1226 H1198 H1214 H1097 H1091 H1262 H1124 H1054 H1069 H1220 H1268 H1238 H1244 H1235 H1208 H1229 H1121 H1109 H1232 H1106 H1185 H1060 H1057 H1047 H1256 H1063 H1247 H1253 H1103 H1250 H1079 H1164 H1082 H1044 H1094 H1265 H1223 H1041 H1155 H1161 H1137 H1179 H1201 H1241 H1211 H1146 H1176 H1158 H1130 H1195 H1188 H1217 H1143 H1066 H1127 H1038 H1173 H1259 H1182 H1075 H1088 H1118 H1170 H1112 H1149" xr:uid="{00000000-0002-0000-0100-00000C000000}">
      <formula1>"Ada, Tidak Ada"</formula1>
    </dataValidation>
    <dataValidation type="decimal" allowBlank="1" showInputMessage="1" showErrorMessage="1" error="Tidak Terdapat Produk Unggulan,_x000a_Diisi 0 (Nol)" promptTitle="Luas Lahan Tanaman " prompt="(Dalam Satuan Luas Ha)_x000a_1 Km2 = 100 Ha" sqref="H1270" xr:uid="{00000000-0002-0000-0100-00000D000000}">
      <formula1>0</formula1>
      <formula2>IF(H1050="Tidak Ada",0,25000)</formula2>
    </dataValidation>
    <dataValidation allowBlank="1" showInputMessage="1" showErrorMessage="1" promptTitle="Ketersediaan Posyandu" prompt="1: Tidak ada Posyandu_x000a_5: Terdapat Posyandu_x000a_(IDM S 316.a)" sqref="H1817" xr:uid="{00000000-0002-0000-0100-00000F000000}"/>
    <dataValidation type="list" allowBlank="1" showInputMessage="1" showErrorMessage="1" promptTitle="Operasional Angkutan Perdesaan" prompt="1: Tidak ada Transportasi Umum_x000a_2: Beroperasi 1-3 hari dalam seminggu_x000a_4: Beroperasi 4-6 hari dlm 1 minggu_x000a_5: Beroperasi setiap hari dalam seminggu" sqref="H2135" xr:uid="{00000000-0002-0000-0100-000010000000}">
      <formula1>"1,2,4,5"</formula1>
    </dataValidation>
    <dataValidation allowBlank="1" showInputMessage="1" showErrorMessage="1" promptTitle="Wilayah Tujuan Pasar" prompt="Sebutkan Nama Pasar, Kab/Kota" sqref="H1308 H1290 H1326 H1297 H1276 H1300 H1286 H1293 H1279 H1315 H1329 H1312 H1322 H1283 H1319 H1305" xr:uid="{00000000-0002-0000-0100-000011000000}"/>
    <dataValidation allowBlank="1" showInputMessage="1" showErrorMessage="1" promptTitle="Pihak Kelola Tambang Pasir BAtu" prompt="Sebutkan_x000a_" sqref="H365" xr:uid="{00000000-0002-0000-0100-000013000000}"/>
    <dataValidation type="whole" allowBlank="1" showInputMessage="1" showErrorMessage="1" errorTitle="PERHATIAN" error="Tidak Tersedia, CEK POSKESDES/POLINDES di IDM S 315.a" promptTitle="Jumlah Pustu/Poskesdes/Polindes" prompt="(Diisi Angka)_x000a_IDM S 315.a)" sqref="H1810" xr:uid="{00000000-0002-0000-0100-000014000000}">
      <formula1>0</formula1>
      <formula2>IF(H595=0,0,3)</formula2>
    </dataValidation>
    <dataValidation type="decimal" operator="lessThanOrEqual" allowBlank="1" showInputMessage="1" showErrorMessage="1" error="Tidak Tedapat Tambang Gas Alam_x000a_Diisi 0 (NOL)" promptTitle="Luas Tambang Gas Alam" prompt="(Dalam Satuan Luas Ha)_x000a_1 Km2 = 100 Ha" sqref="H273" xr:uid="{00000000-0002-0000-0100-000015000000}">
      <formula1>IF(H272="Tidak Ada",0,25000)</formula1>
    </dataValidation>
    <dataValidation type="decimal" allowBlank="1" showInputMessage="1" showErrorMessage="1" error="Tidak Terdapat Produk Unggulan,_x000a_Diisi 0 (Nol)" promptTitle="Luas Lahan Tanaman " prompt="(Dalam Satuan Luas Ha)_x000a_1 Km2 = 100 Ha" sqref="H1125" xr:uid="{00000000-0002-0000-0100-000016000000}">
      <formula1>0</formula1>
      <formula2>IF(H1038="Tidak Ada",0,25000)</formula2>
    </dataValidation>
    <dataValidation type="decimal" allowBlank="1" showInputMessage="1" showErrorMessage="1" promptTitle="Total Produksi Panen dalam 1 Thn" prompt="Sebutkan (Ton Per Tahun)" sqref="H1240" xr:uid="{00000000-0002-0000-0100-000017000000}">
      <formula1>0</formula1>
      <formula2>IF(H1038="Tidak ada",0,25000)</formula2>
    </dataValidation>
    <dataValidation type="list" allowBlank="1" showInputMessage="1" showErrorMessage="1" promptTitle="Hutan Negara dikelola Taman Nas" prompt="Ada_x000a_Tidak Ada" sqref="H257" xr:uid="{00000000-0002-0000-0100-000018000000}">
      <formula1>"Ada, Tidak Ada"</formula1>
    </dataValidation>
    <dataValidation allowBlank="1" showInputMessage="1" showErrorMessage="1" promptTitle="Pihak Kelola Tambang Gol B Lain" prompt="Sebutkan_x000a_" sqref="H340" xr:uid="{00000000-0002-0000-0100-000019000000}"/>
    <dataValidation type="list" allowBlank="1" showInputMessage="1" showErrorMessage="1" promptTitle="Status kelola Tambang Golongan C" prompt="Tidak Ada_x000a_Pemerintah_x000a_BUMN_x000a_BUMD_x000a_Swasta_x000a_Perorangan_x000a_Lainnya" sqref="H389" xr:uid="{00000000-0002-0000-0100-00001A000000}">
      <formula1>IF($H384="tidak ada",Tidak_Ada,Tambang)</formula1>
    </dataValidation>
    <dataValidation type="whole" operator="lessThanOrEqual" allowBlank="1" showInputMessage="1" showErrorMessage="1" error="Tidak Terdapat Perkebunan Kelapa Sawit. Diisi 0 (NOL)_x000a_Tidak Melebihi Jumlah Penduduk di Desa" promptTitle="Jlh Petani Perkebunan Klp Sawit" prompt=" _x000a_" sqref="H413" xr:uid="{00000000-0002-0000-0100-00001B000000}">
      <formula1>IF(H407="Tidak ada",0,$H$493)</formula1>
    </dataValidation>
    <dataValidation type="whole" allowBlank="1" showInputMessage="1" showErrorMessage="1" promptTitle="Jumlah Total Penduduk Tahun 2023" prompt="Terhitung Otomatis dari jumlah penduduk laki-laki dan perempuan" sqref="H493" xr:uid="{00000000-0002-0000-0100-00001C000000}">
      <formula1>10</formula1>
      <formula2>120000</formula2>
    </dataValidation>
    <dataValidation type="whole" allowBlank="1" showInputMessage="1" showErrorMessage="1" error="Tidak terdapat Kelompok Seni Adat dan Budaya di Desa._x000a_Max 24 kali/tahun" promptTitle="Frek Keg Seni Adat &amp; Budaya" prompt="(Kali/Thn)" sqref="H794" xr:uid="{00000000-0002-0000-0100-00001D000000}">
      <formula1>0</formula1>
      <formula2>IF(H793=0,0,24)</formula2>
    </dataValidation>
    <dataValidation allowBlank="1" showInputMessage="1" showErrorMessage="1" promptTitle="Pihak Lainnya Pendampingan" prompt="Sebutkan" sqref="H157 H164 H136 H129 H180 H187 H143 H210 H172 H122 H202 H150 H194 H217 H231 H224 H239" xr:uid="{00000000-0002-0000-0100-00001F000000}"/>
    <dataValidation type="list" showInputMessage="1" showErrorMessage="1" promptTitle="Adanya Limbah di Sungai" prompt="Terdapat Sungai Terkena Pembuangan Limbah_x000a_0: Tidak Ada_x000a_1: Ada" sqref="H1483" xr:uid="{00000000-0002-0000-0100-000022000000}">
      <formula1>"0,1"</formula1>
    </dataValidation>
    <dataValidation type="whole" operator="greaterThanOrEqual" allowBlank="1" showInputMessage="1" showErrorMessage="1" promptTitle="Pajak dan Retribusi Tahun 2024" prompt=" " sqref="H1598" xr:uid="{00000000-0002-0000-0100-000023000000}">
      <formula1>0</formula1>
    </dataValidation>
    <dataValidation type="whole" operator="greaterThanOrEqual" allowBlank="1" showInputMessage="1" showErrorMessage="1" sqref="H2232:H2235 H1640:H1657 H1659:H1668 H2237 H1627:H1638 H1343 H1447:H1448 H1687:H1694 H1670:H1685" xr:uid="{00000000-0002-0000-0100-000024000000}">
      <formula1>0</formula1>
    </dataValidation>
    <dataValidation type="decimal" allowBlank="1" showInputMessage="1" showErrorMessage="1" error="Tidak Terdapat Produk Unggulan,_x000a_Diisi 0 (Nol)" promptTitle="Luas Lahan Tanaman " prompt="(Dalam Satuan Luas Ha)_x000a_1 Km2 = 100 Ha" sqref="H1209" xr:uid="{00000000-0002-0000-0100-000025000000}">
      <formula1>0</formula1>
      <formula2>IF(H1038="Tidak Ada",0,25000)</formula2>
    </dataValidation>
    <dataValidation type="decimal" operator="lessThanOrEqual" allowBlank="1" showInputMessage="1" showErrorMessage="1" error="Tidak Tedapat Tambang Golongan B Lainnya_x000a_Diisi 0 (NOL)" promptTitle="Luas Tambang Golongan B Lainnya" prompt="(Dalam Satuan Luas Ha)_x000a_1 Km2 = 100 Ha" sqref="H336" xr:uid="{00000000-0002-0000-0100-000027000000}">
      <formula1>IF(H334="Tidak Ada",0,25000)</formula1>
    </dataValidation>
    <dataValidation type="whole" operator="lessThanOrEqual" allowBlank="1" showInputMessage="1" showErrorMessage="1" errorTitle="PESERTA BPJS/JKN/KIS" error="Jumlah Peserta BPJS/JKN/KIS tidak lebih dari Jumlah Penduduk di Desa" promptTitle="Jumlah Warga T'daftar BPJS" prompt="Input Menggunakan Angka" sqref="H606" xr:uid="{00000000-0002-0000-0100-000028000000}">
      <formula1>H493</formula1>
    </dataValidation>
    <dataValidation allowBlank="1" showInputMessage="1" showErrorMessage="1" prompt="IDM S 355.p" sqref="H1735" xr:uid="{00000000-0002-0000-0100-000029000000}"/>
    <dataValidation type="decimal" operator="lessThanOrEqual" allowBlank="1" showInputMessage="1" showErrorMessage="1" error="Tidak Tedapat Tambang_x000a_Diisi 0 (NOL)" promptTitle="Luas Tambang Batu Kapur" prompt="(Dalam Satuan Luas Ha)_x000a_1 Km2 = 100 Ha" sqref="H343" xr:uid="{00000000-0002-0000-0100-00002A000000}">
      <formula1>IF(H342="Tidak Ada",0,25000)</formula1>
    </dataValidation>
    <dataValidation type="whole" operator="lessThanOrEqual" allowBlank="1" showInputMessage="1" showErrorMessage="1" promptTitle="Jlh Mikro kecil-Pariwisata" prompt="Input Menggunakan Angka" sqref="H1336" xr:uid="{00000000-0002-0000-0100-00002C000000}">
      <formula1>100</formula1>
    </dataValidation>
    <dataValidation type="decimal" allowBlank="1" showInputMessage="1" showErrorMessage="1" error="Tidak Terdapat Produk Unggulan,_x000a_Diisi 0 (Nol)" promptTitle="Luas Lahan Tanaman " prompt="(Dalam Satuan Luas Ha)_x000a_1 Km2 = 100 Ha" sqref="H1122" xr:uid="{00000000-0002-0000-0100-00002D000000}">
      <formula1>0</formula1>
      <formula2>IF(H1038="Tidak Ada",0,25000)</formula2>
    </dataValidation>
    <dataValidation type="list" allowBlank="1" showInputMessage="1" showErrorMessage="1" promptTitle="Terdapat Perkebunan Tembakau" prompt="Ada_x000a_Tidak Ada" sqref="H461" xr:uid="{00000000-0002-0000-0100-00002E000000}">
      <formula1>"Ada, Tidak Ada"</formula1>
    </dataValidation>
    <dataValidation operator="greaterThanOrEqual" allowBlank="1" showInputMessage="1" showErrorMessage="1" promptTitle="Info APBDes (Lainnya)" prompt="(Sebutkan)" sqref="H1624" xr:uid="{00000000-0002-0000-0100-00002F000000}"/>
    <dataValidation type="whole" operator="lessThanOrEqual" allowBlank="1" showInputMessage="1" showErrorMessage="1" error="Tidak terdapat konflik lahan" promptTitle="Jlh Konflik Lahan antar desa" prompt="Jlh konflik Antar Kelompok Masyarakat antar desa" sqref="H816" xr:uid="{00000000-0002-0000-0100-000030000000}">
      <formula1>50</formula1>
    </dataValidation>
    <dataValidation type="list" showInputMessage="1" showErrorMessage="1" promptTitle="Tdapat Bumdesa Usaha" prompt="Terdapat Bumdesa Usaha Bidang Kelompok Usaha_x000a_0: Tidak Ada_x000a_1: Ada" sqref="H1439" xr:uid="{00000000-0002-0000-0100-000031000000}">
      <formula1>IF($H$1438=0,Tidak_tersedia,Tersedia)</formula1>
    </dataValidation>
    <dataValidation type="list" allowBlank="1" showInputMessage="1" showErrorMessage="1" promptTitle="Tidak Lanjut Pemdes Pendampingan" prompt="0: Tidak Ada_x000a_1: Ya" sqref="H1532:H1535 H1539:H1540" xr:uid="{00000000-0002-0000-0100-000032000000}">
      <formula1>"Ada, Tidak Ada"</formula1>
    </dataValidation>
    <dataValidation allowBlank="1" showInputMessage="1" showErrorMessage="1" promptTitle="Pihak Kelola Tambang Tembaga" prompt="Sebutkan_x000a_" sqref="H315" xr:uid="{00000000-0002-0000-0100-000033000000}"/>
    <dataValidation type="list" allowBlank="1" showInputMessage="1" showErrorMessage="1" promptTitle="Terdapat Wisata Embung" prompt="Ada_x000a_Tidak Ada" sqref="H175" xr:uid="{00000000-0002-0000-0100-000034000000}">
      <formula1>"Ada, Tidak Ada"</formula1>
    </dataValidation>
    <dataValidation type="list" allowBlank="1" showInputMessage="1" showErrorMessage="1" promptTitle="Pendidikan utk Kebutuhan Khusus" prompt="Ada_x000a_Tidak Ada" sqref="H1787" xr:uid="{00000000-0002-0000-0100-000035000000}">
      <formula1>"Ada, Tidak Ada"</formula1>
    </dataValidation>
    <dataValidation allowBlank="1" showInputMessage="1" showErrorMessage="1" promptTitle="Sumber Air Minum Air Tanah/Sumur" prompt="Ada_x000a_Tidak Ada_x000a_(IDM S 390.d S 390.e)" sqref="H1890" xr:uid="{00000000-0002-0000-0100-000036000000}"/>
    <dataValidation type="decimal" operator="lessThanOrEqual" allowBlank="1" showInputMessage="1" showErrorMessage="1" error="Tidak terdapat Perkebunan Coklat/Kakao._x000a_Diisi 0 (NOL)" promptTitle="Total Produksi dalam 1 Tahun" prompt="Sebutkan (Satuan Ton)_x000a_" sqref="H420" xr:uid="{00000000-0002-0000-0100-000037000000}">
      <formula1>IF(H416="Tidak ada",0,10000)</formula1>
    </dataValidation>
    <dataValidation type="whole" operator="lessThan" allowBlank="1" showInputMessage="1" showErrorMessage="1" promptTitle="No Telp Aktif Kaur Perencanaan" prompt="Di isi tanpa awalan angka NOL (0)_x000a_contoh:_x000a_8171234567890" sqref="H75" xr:uid="{00000000-0002-0000-0100-000038000000}">
      <formula1>99999999999999</formula1>
    </dataValidation>
    <dataValidation type="decimal" allowBlank="1" showInputMessage="1" showErrorMessage="1" error="Tidak Terdapat Produk Unggulan,_x000a_Diisi 0 (Nol)" promptTitle="Luas Lahan Tanaman " prompt="(Dalam Satuan Luas Ha)_x000a_1 Km2 = 100 Ha" sqref="H1073" xr:uid="{00000000-0002-0000-0100-000039000000}">
      <formula1>0</formula1>
      <formula2>IF(H1038="Tidak Ada",0,25000)</formula2>
    </dataValidation>
    <dataValidation type="list" showInputMessage="1" showErrorMessage="1" error="Tidak tersedia BUMDesa" promptTitle="Tdapat Bumdesa Bid Bisnis Sosial" prompt="Terdapat Bumdesa bidang Bisnis Sosial_x000a_0: Tidak Ada_x000a_1: Ada" sqref="H1404" xr:uid="{00000000-0002-0000-0100-00003A000000}">
      <formula1>IF(H$1397=0,Tidak_tersedia,Tersedia)</formula1>
    </dataValidation>
    <dataValidation type="whole" operator="lessThanOrEqual" allowBlank="1" showInputMessage="1" showErrorMessage="1" errorTitle="PERHATIKAN JUMLAH PENDUDUK" error="CEK JUMLAH PENDUDUK DI DESA, Tidak dapat Melebihi Jumlah Penduduk._x000a_Tidak Terdapat Tambang Aspal_x000a_(Hanya diInput Angka)" promptTitle="Jlh Naker Tambang Aspal" prompt=" (Diisi Angka)" sqref="H280" xr:uid="{00000000-0002-0000-0100-00003B000000}">
      <formula1>IF(H278="tidak ada",0,$H$493)</formula1>
    </dataValidation>
    <dataValidation type="list" showInputMessage="1" showErrorMessage="1" promptTitle="Tdapat Bumdesa Jasa Penyewaan" prompt="Terdapat Bumdesa Jasa Penyewaan Bidang Sewa Sound System_x000a_0: Tidak Ada_x000a_1: Ada" sqref="H1412" xr:uid="{00000000-0002-0000-0100-00003C000000}">
      <formula1>IF($H$1409=0,Tidak_tersedia,Tersedia)</formula1>
    </dataValidation>
    <dataValidation allowBlank="1" showInputMessage="1" showErrorMessage="1" promptTitle="Pihak Kelola Tambang Emas" prompt="Sebutkan_x000a_" sqref="H327" xr:uid="{00000000-0002-0000-0100-00003D000000}"/>
    <dataValidation type="custom" operator="greaterThanOrEqual" allowBlank="1" showInputMessage="1" showErrorMessage="1" errorTitle="JLH PENDUDUK pd BIDANG PEKERJAAN" error="Total pendudukn Berdasarkan PEKERJAAN Harus LEBIH KECIL dari TOTAL PENDUDUK di Desa" promptTitle="Jumlah Pekerjaan Petani" prompt="Jumlah Pekerja Petani Perempuan" sqref="H512" xr:uid="{00000000-0002-0000-0100-00003E000000}">
      <formula1>($H$511+$H$512+$H$513+$H$514+$H$515+$H$516+$H$517+$H$518+$H$519+$H$520+$H$521+$H$522+$H$523+$H$524+$H$525+$H$526+$H$527+$H$528+$H$529+$H$530+$H$531+$H$532+$H$533+$H$534+$H$535)&lt;=$H$493</formula1>
    </dataValidation>
    <dataValidation type="list" allowBlank="1" showInputMessage="1" showErrorMessage="1" promptTitle="Transportasi ke Penginapan" prompt="Ada_x000a_Tidak Ada" sqref="H2050" xr:uid="{00000000-0002-0000-0100-00003F000000}">
      <formula1>"Ada, Tidak Ada"</formula1>
    </dataValidation>
    <dataValidation type="list" allowBlank="1" showInputMessage="1" showErrorMessage="1" promptTitle="Total Panen dalam 1 Tahun" prompt="0_x000a_1_x000a_2_x000a_3_x000a_4_x000a_5_x000a_6_x000a_7_x000a_8_x000a_9_x000a_10_x000a_11_x000a_12_x000a_Lebih dari 12 kali" sqref="H978 H990 H1030 H1022 H1014 H1010 H966 H974 H986 H1006 H970 H998 H1018 H962 H1026 H982 H1034 H1002 H994" xr:uid="{00000000-0002-0000-0100-000040000000}">
      <formula1>"0,1,2,3,4,5,6,7,8,9,10,11,12,13,14,15,16, Lebih dari 16 Kali"</formula1>
    </dataValidation>
    <dataValidation type="whole" operator="greaterThanOrEqual" allowBlank="1" showInputMessage="1" showErrorMessage="1" promptTitle="Jlh RT Belum Teraliri Listrik" prompt="Jlh Rumah Tangga Belum Alir Listrik (RT)_x000a_(Terisi dari Unggah Template Rumah Tanggal Belum Teraliri Listrik)" sqref="H917" xr:uid="{00000000-0002-0000-0100-000041000000}">
      <formula1>0</formula1>
    </dataValidation>
    <dataValidation type="list" allowBlank="1" showInputMessage="1" showErrorMessage="1" promptTitle="Jenis Kelamin Plt/ Kelapa Desa" prompt="1. Laki- Laki_x000a_2. Perempuan" sqref="H33" xr:uid="{00000000-0002-0000-0100-000043000000}">
      <formula1>"1, 2"</formula1>
    </dataValidation>
    <dataValidation type="list" allowBlank="1" showInputMessage="1" showErrorMessage="1" promptTitle="Terdapat Kaur Perencanaan" prompt="Ada_x000a_Tidak Ada" sqref="H73" xr:uid="{00000000-0002-0000-0100-000044000000}">
      <formula1>"Ada, Tidak Ada"</formula1>
    </dataValidation>
    <dataValidation type="decimal" allowBlank="1" showInputMessage="1" showErrorMessage="1" promptTitle="Total Produksi Panen dalam 1 Thn" prompt="Sebutkan (Ton Per Tahun)" sqref="H1111" xr:uid="{00000000-0002-0000-0100-000045000000}">
      <formula1>0</formula1>
      <formula2>IF(H1038="Tidak ada",0,25000)</formula2>
    </dataValidation>
    <dataValidation type="list" showInputMessage="1" showErrorMessage="1" promptTitle="Ada tidaknya PKK?" prompt="Keterangan: _x000a_0 : Tidak Ada_x000a_1 : Ada " sqref="H738" xr:uid="{00000000-0002-0000-0100-000046000000}">
      <formula1>"0,1"</formula1>
    </dataValidation>
    <dataValidation type="decimal" operator="lessThanOrEqual" allowBlank="1" showInputMessage="1" showErrorMessage="1" promptTitle="Total Produksi Panen dalam 1 Thn" prompt="Sebutkan (Ton Per Tahun)" sqref="H975" xr:uid="{00000000-0002-0000-0100-000047000000}">
      <formula1>IF(H960="tidak ada",0,25000)</formula1>
    </dataValidation>
    <dataValidation type="whole" operator="greaterThanOrEqual" allowBlank="1" showInputMessage="1" showErrorMessage="1" promptTitle="Total BPD dan Anggota" prompt="BPD dan Anggota Perempuan_x000a_(Terisi dari Unggah Template Staf Petugas Desa dan Lembaga Kemasayarakatan Desa)" sqref="H80" xr:uid="{00000000-0002-0000-0100-000048000000}">
      <formula1>0</formula1>
    </dataValidation>
    <dataValidation type="list" showInputMessage="1" showErrorMessage="1" promptTitle="Pemanfaatan BPJS" prompt="Keterangan:_x000a_0: Tidak Ada_x000a_1: Ya, Sebagian Besar_x000a_2: Ya, Sebagian Kecil_x000a_" sqref="H607" xr:uid="{00000000-0002-0000-0100-000049000000}">
      <formula1>IF($H$606&gt;0,BPJS,Tidak_tersedia)</formula1>
    </dataValidation>
    <dataValidation allowBlank="1" showInputMessage="1" showErrorMessage="1" promptTitle="Pihak Kelola Tambang Bauksit" prompt="Sebutkan_x000a_" sqref="H309" xr:uid="{00000000-0002-0000-0100-00004A000000}"/>
    <dataValidation allowBlank="1" showInputMessage="1" showErrorMessage="1" promptTitle="Aktivitas Wisata Sungai" prompt="Contoh:_x000a_Penangkaran, Penanaman Bakau, Rafting" sqref="H146" xr:uid="{00000000-0002-0000-0100-00004B000000}"/>
    <dataValidation type="list" allowBlank="1" showInputMessage="1" showErrorMessage="1" promptTitle="Jaringan Internet Lainnya" prompt="Tidak Ada_x000a_2G/ 2.5G/ GPRS/ EDGE_x000a_3G/ 3.5G/ HSDPA/ EVDO_x000a_4G LTE_x000a_5G" sqref="H940" xr:uid="{00000000-0002-0000-0100-00004C000000}">
      <formula1>IF($H$938=0,Tidak_Ada,sinyal)</formula1>
    </dataValidation>
    <dataValidation type="whole" operator="lessThanOrEqual" allowBlank="1" showInputMessage="1" showErrorMessage="1" promptTitle="Jlh Guru BA" prompt=" " sqref="H722" xr:uid="{00000000-0002-0000-0100-00004D000000}">
      <formula1>30</formula1>
    </dataValidation>
    <dataValidation type="list" allowBlank="1" showInputMessage="1" showErrorMessage="1" promptTitle="Terdapat Organisasi Agama?" prompt="Keterangan:_x000a_0 : Tidak Ada_x000a_1 : Ada" sqref="H740" xr:uid="{00000000-0002-0000-0100-00004E000000}">
      <formula1>"0,1"</formula1>
    </dataValidation>
    <dataValidation type="list" allowBlank="1" showInputMessage="1" showErrorMessage="1" promptTitle="Terdapat Tambang Nikel" prompt="Ada_x000a_Tidak Ada" sqref="H290" xr:uid="{00000000-0002-0000-0100-00004F000000}">
      <formula1>"Ada, Tidak Ada"</formula1>
    </dataValidation>
    <dataValidation allowBlank="1" showInputMessage="1" showErrorMessage="1" prompt="Alamat Web Desa" sqref="H40" xr:uid="{00000000-0002-0000-0100-000050000000}"/>
    <dataValidation type="list" allowBlank="1" showInputMessage="1" showErrorMessage="1" promptTitle="Transportasi Umum layanan Dokter" prompt="Ada_x000a_Tidak Ada" sqref="H1837" xr:uid="{00000000-0002-0000-0100-000051000000}">
      <formula1>IF($H$125=1,Tidak_Ada,Ada)</formula1>
    </dataValidation>
    <dataValidation type="list" allowBlank="1" showInputMessage="1" showErrorMessage="1" promptTitle="Penyelesaian Konflik secaraDamai" prompt="1: Tidak ada_x000a_3: Ada tetapi tidak tuntas_x000a_5: Ada" sqref="H1973" xr:uid="{00000000-0002-0000-0100-000052000000}">
      <formula1>IF($H$820=0,Tidak,damai)</formula1>
    </dataValidation>
    <dataValidation type="list" allowBlank="1" showInputMessage="1" showErrorMessage="1" error="Tidak Terdapat Perkebunan Coklat/ Kakao._x000a_Diisi 0 (NOL)" promptTitle="Status Kelola Perkebunan Karet " prompt="Tidak Ada_x000a_Pemerintah_x000a_BUMN_x000a_BUMD_x000a_Swasta_x000a_Perorangan" sqref="H418" xr:uid="{00000000-0002-0000-0100-000053000000}">
      <formula1>IF(H416="Tidak ada",Tidak_Ada,kebun)</formula1>
    </dataValidation>
    <dataValidation allowBlank="1" showInputMessage="1" showErrorMessage="1" promptTitle="Operator lainnya" prompt="Operator / provider telepon seluler lainnya dapat menerima sinyal (sebutkan)" sqref="H939" xr:uid="{00000000-0002-0000-0100-000055000000}"/>
    <dataValidation type="list" allowBlank="1" showInputMessage="1" showErrorMessage="1" promptTitle="Transportasi ke Layanan Dokter" prompt="1: Tidak Tersedia Sarana Transportasi_x000a_5: Tersedia Sarana Transportasi" sqref="H1835" xr:uid="{00000000-0002-0000-0100-000057000000}">
      <formula1>"1,5"</formula1>
    </dataValidation>
    <dataValidation type="decimal" allowBlank="1" showInputMessage="1" showErrorMessage="1" promptTitle="Total Produksi Panen dalam 1 Thn" prompt="Sebutkan (Ton Per Tahun)" sqref="H1135" xr:uid="{00000000-0002-0000-0100-000058000000}">
      <formula1>0</formula1>
      <formula2>IF(H1038="Tidak ada",0,25000)</formula2>
    </dataValidation>
    <dataValidation allowBlank="1" showInputMessage="1" showErrorMessage="1" promptTitle="Akses ke Sarana Kesehatan" prompt="1: Sangat Sulit_x000a_2: Sulit_x000a_3: Sedang_x000a_4: Mudah_x000a_5: Sangat Mudah" sqref="H1802" xr:uid="{00000000-0002-0000-0100-000059000000}"/>
    <dataValidation type="whole" allowBlank="1" showInputMessage="1" showErrorMessage="1" errorTitle="CEK KONFLIK DI DESA 1 TAHUN" error="Batas isian Max 100 Kasus/tahun_x000a_Jika dalm 1 Tahun Terakhir TIDAK ADA konflik di Desa. Diisi angka 0 (NOL)" prompt="IDM S 376.g" sqref="H1967" xr:uid="{00000000-0002-0000-0100-00005A000000}">
      <formula1>0</formula1>
      <formula2>IF($H$244="Ada",100,0)</formula2>
    </dataValidation>
    <dataValidation type="list" allowBlank="1" showInputMessage="1" showErrorMessage="1" promptTitle="RTH Jalur Hijau Jalan/Sungai/" prompt="1: Tidak ada fasilitas_x000a_2: Ada, kondisi rusak parah_x000a_3: Ada, Kondisi rusak sedang_x000a_4: Ada, kondisi rusak ringan_x000a_5: Ada, kondisi baik" sqref="H2000" xr:uid="{00000000-0002-0000-0100-00005B000000}">
      <formula1>"1,2,3,4,5"</formula1>
    </dataValidation>
    <dataValidation type="list" showInputMessage="1" showErrorMessage="1" promptTitle="Perencanaan Tata Ruang" prompt="Terdapat Perencanaan Tata Ruang Desa_x000a_0: Tidak Ada_x000a_1: Ada" sqref="H1484" xr:uid="{00000000-0002-0000-0100-00005C000000}">
      <formula1>"0,1"</formula1>
    </dataValidation>
    <dataValidation type="list" allowBlank="1" showInputMessage="1" showErrorMessage="1" promptTitle="Modil Pribadi Layanan Bidan" prompt="Ada_x000a_Tidak Ada" sqref="H1856" xr:uid="{00000000-0002-0000-0100-00005D000000}">
      <formula1>IF($H$143=1,Tidak_Ada,Ada)</formula1>
    </dataValidation>
    <dataValidation type="list" allowBlank="1" showInputMessage="1" showErrorMessage="1" promptTitle="Pengelola Wisata Kuliner" prompt="Tidak Ada_x000a_Pemerintah_x000a_Swasta_x000a_BUMN_x000a_BUMD_x000a_BUM Des_x000a_BUM Des Bersama_x000a_Kelompok_x000a_Pribadi_x000a_Lainnya" sqref="H221" xr:uid="{00000000-0002-0000-0100-00005E000000}">
      <formula1>IF(H219="Tidak Ada",Tidak_Ada,Pengelola_wisata)</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 Bidan" prompt=" " sqref="H531" xr:uid="{00000000-0002-0000-0100-00005F000000}">
      <formula1>($H$511+$H$512+$H$513+$H$514+$H$515+$H$516+$H$517+$H$518+$H$519+$H$520+$H$521+$H$522+$H$523+$H$524+$H$525+$H$526+$H$527+$H$528+$H$529+$H$530+$H$531+$H$532+$H$533+$H$534+$H$535)&lt;=$H$493</formula1>
    </dataValidation>
    <dataValidation type="list" showInputMessage="1" showErrorMessage="1" promptTitle="Tdapat Bumdesa Perantara" prompt="Terdapat Bumdesa Perantara Bidang Jasa_x000a_0: Tidak Ada_x000a_1: Ada" sqref="H1432" xr:uid="{00000000-0002-0000-0100-000060000000}">
      <formula1>IF($H$1431=0,Tidak_tersedia,Tersedia)</formula1>
    </dataValidation>
    <dataValidation type="list" allowBlank="1" showInputMessage="1" showErrorMessage="1" promptTitle="Transportasi Menuju Posyandu" prompt="Ada_x000a_Tidak Ada" sqref="H1822" xr:uid="{00000000-0002-0000-0100-000062000000}">
      <formula1>"Ada, Tidak Ada"</formula1>
    </dataValidation>
    <dataValidation type="list" allowBlank="1" showInputMessage="1" showErrorMessage="1" promptTitle="RTNH Pelataran" prompt="1: Tidak ada fasilitas_x000a_2: Ada, kondisi rusak parah_x000a_3: Ada, Kondisi rusak sedang_x000a_4: Ada, kondisi rusak ringan_x000a_5: Ada, kondisi baik" sqref="H2003" xr:uid="{00000000-0002-0000-0100-000063000000}">
      <formula1>"1,2,3,4,5"</formula1>
    </dataValidation>
    <dataValidation type="decimal" allowBlank="1" showInputMessage="1" showErrorMessage="1" promptTitle="Total Produksi Panen dalam 1 Thn" prompt="Sebutkan (Ton Per Tahun)" sqref="H1099" xr:uid="{00000000-0002-0000-0100-000064000000}">
      <formula1>0</formula1>
      <formula2>IF(H1038="Tidak ada",0,25000)</formula2>
    </dataValidation>
    <dataValidation type="list" allowBlank="1" showInputMessage="1" showErrorMessage="1" promptTitle="Pendampingan Bidang Pendidikan" prompt="0: Tidak Ada_x000a_1: Ada" sqref="H1518" xr:uid="{00000000-0002-0000-0100-000065000000}">
      <formula1>"0,1"</formula1>
    </dataValidation>
    <dataValidation type="list" allowBlank="1" showInputMessage="1" showErrorMessage="1" promptTitle="Pihak Pengelola Wisata Laut/Dana" prompt="Tidak Ada_x000a_Pemerintah_x000a_Swasta_x000a_BUMN_x000a_BUMD_x000a_BUM Des_x000a_BUM Des Bersama_x000a_Kelompok_x000a_Pribadi_x000a_Lainnya" sqref="H133" xr:uid="{00000000-0002-0000-0100-000066000000}">
      <formula1>IF(H131="Tidak Ada",Tidak_Ada,Pengelola_wisata)</formula1>
    </dataValidation>
    <dataValidation type="list" allowBlank="1" showInputMessage="1" showErrorMessage="1" promptTitle="Status kelola Tambang Belerang." prompt="Tidak Ada_x000a_Pemerintah_x000a_BUMN_x000a_BUMD_x000a_Swasta_x000a_Perorangan_x000a_Lainnya" sqref="H320" xr:uid="{00000000-0002-0000-0100-000067000000}">
      <formula1>IF($H316="tidak ada",Tidak_Ada,Tambang)</formula1>
    </dataValidation>
    <dataValidation type="decimal" operator="lessThanOrEqual" allowBlank="1" showInputMessage="1" showErrorMessage="1" error="Tidak dapat Perkebunan Kepala Sawit_x000a_Diisi 0 (NOL)" promptTitle="Luas Area Perkebunan Klp Sawit" prompt="(Dalam Satuan Luas Ha)_x000a_1 Km2 = 100 Ha" sqref="H408" xr:uid="{00000000-0002-0000-0100-000068000000}">
      <formula1>IF(H407="Tidak ada",0,25000)</formula1>
    </dataValidation>
    <dataValidation allowBlank="1" showInputMessage="1" showErrorMessage="1" promptTitle="Pengelola Wisata Seni &amp; Tradisi" prompt="Sebutkan" sqref="H229" xr:uid="{00000000-0002-0000-0100-000069000000}"/>
    <dataValidation type="whole" allowBlank="1" showInputMessage="1" showErrorMessage="1" error="Tidak lebih dari Usia 13-15 Tahun" promptTitle="Jlh Usia SMP Putus/Tidak Sekolah" prompt=" " sqref="H705" xr:uid="{00000000-0002-0000-0100-00006A000000}">
      <formula1>0</formula1>
      <formula2>IF(H704=0,0,H506)</formula2>
    </dataValidation>
    <dataValidation type="list" operator="lessThanOrEqual" allowBlank="1" showInputMessage="1" showErrorMessage="1" promptTitle="Tujuan Pasar Hasil Panen " prompt="Domestik (Dalam Negeri)_x000a_Ekspor (Luar Negeri)_x000a__x000a_" sqref="H441" xr:uid="{00000000-0002-0000-0100-00006B000000}">
      <formula1>IF(H398="Tidak ada",Tidak_Ada,Pasar)</formula1>
    </dataValidation>
    <dataValidation type="whole" allowBlank="1" showInputMessage="1" showErrorMessage="1" error="Tidak terdapat konflik lahan" promptTitle="Jlh Konflik Lahan" prompt="Jlh konflik Antar Kelompok Masyarakat dalam 1 tahun terakhir" sqref="H815" xr:uid="{00000000-0002-0000-0100-00006C000000}">
      <formula1>0</formula1>
      <formula2>IF(H814=0,0,50)</formula2>
    </dataValidation>
    <dataValidation type="whole" operator="lessThanOrEqual" allowBlank="1" showInputMessage="1" showErrorMessage="1" promptTitle="Jumlah Posyandu tersedia di Desa" prompt="Input Menggunakan Angka" sqref="H600" xr:uid="{00000000-0002-0000-0100-00006D000000}">
      <formula1>100</formula1>
    </dataValidation>
    <dataValidation allowBlank="1" showInputMessage="1" showErrorMessage="1" promptTitle="Produk Unggulan Buah Lainnya" prompt="(Sebutkan)" sqref="H1133" xr:uid="{00000000-0002-0000-0100-00006E000000}"/>
    <dataValidation type="list" allowBlank="1" showInputMessage="1" showErrorMessage="1" promptTitle="Terdapat Tambang Batu Kerikil" prompt="Ada_x000a_Tidak Ada" sqref="H366" xr:uid="{00000000-0002-0000-0100-00006F000000}">
      <formula1>"Ada, Tidak Ada"</formula1>
    </dataValidation>
    <dataValidation allowBlank="1" showInputMessage="1" showErrorMessage="1" promptTitle="Nomor Perjanjian Kerjasama" prompt=" " sqref="H1576" xr:uid="{00000000-0002-0000-0100-000070000000}"/>
    <dataValidation type="list" showInputMessage="1" showErrorMessage="1" promptTitle="Sumber Air untuk Mandi dan Cuci" prompt="Sumber Air Ledeng dengan Tanpa Meteran (PAM/PDAM)_x000a_Keterangan_x000a_0 : Tidak_x000a_1 : Ya" sqref="H896" xr:uid="{00000000-0002-0000-0100-000071000000}">
      <formula1>"0,1"</formula1>
    </dataValidation>
    <dataValidation type="whole" operator="lessThanOrEqual" allowBlank="1" showInputMessage="1" showErrorMessage="1" promptTitle="Jlh Tunadaksa" prompt=" " sqref="H851:H852" xr:uid="{00000000-0002-0000-0100-000072000000}">
      <formula1>50</formula1>
    </dataValidation>
    <dataValidation allowBlank="1" showInputMessage="1" showErrorMessage="1" promptTitle="Produktivitas Kepemilikan Aset" prompt="1: Aset desa produktif 0-20 % _x000a_2: Aset desa produktif &gt;20 - 40 % _x000a_3: Aset desa produktif &gt;40 - 60 %_x000a_4: Aset desa produktif &gt;60 - 80 %_x000a_5: Aset desa produktif &gt;80 - 100 %" sqref="H2249" xr:uid="{00000000-0002-0000-0100-000073000000}"/>
    <dataValidation type="list" allowBlank="1" showInputMessage="1" showErrorMessage="1" promptTitle="Buku Rencana Anggaran Biaya" prompt="Diisi_x000a_Tidak Diisi" sqref="H2170" xr:uid="{00000000-0002-0000-0100-000074000000}">
      <formula1>IF($H$2167="Belum",Tidak_Diisi,Diisi)</formula1>
    </dataValidation>
    <dataValidation allowBlank="1" showInputMessage="1" showErrorMessage="1" promptTitle="Data Input dari Template" prompt="Otomatis dari file unggah template Sunting" sqref="H670 H610:H623 H646:H657 H625:H644" xr:uid="{00000000-0002-0000-0100-000075000000}"/>
    <dataValidation type="list" showInputMessage="1" showErrorMessage="1" promptTitle="Perubahan penggunaan lahan" prompt="Terdapat perubahan penggunaan lahan dari sektor pertanian menjadi non-pertanian_x000a_0: Tidak Ada_x000a_1: Ada" sqref="H1485" xr:uid="{00000000-0002-0000-0100-000076000000}">
      <formula1>"0,1"</formula1>
    </dataValidation>
    <dataValidation type="list" allowBlank="1" showInputMessage="1" showErrorMessage="1" promptTitle="Buku Inventaris Hasil P'bangunan" prompt="Diisi_x000a_Tidak Diisi" sqref="H2179" xr:uid="{00000000-0002-0000-0100-000077000000}">
      <formula1>IF($H$2175="Belum",Tidak_Diisi,Diisi)</formula1>
    </dataValidation>
    <dataValidation type="list" showInputMessage="1" showErrorMessage="1" promptTitle="Air Minum dari Mata Air" prompt="Keterangan:_x000a_0 : Tidak_x000a_1 : Ya" sqref="H889" xr:uid="{00000000-0002-0000-0100-000078000000}">
      <formula1>"0,1"</formula1>
    </dataValidation>
    <dataValidation type="whole" operator="greaterThanOrEqual" allowBlank="1" showInputMessage="1" showErrorMessage="1" promptTitle="Total TP. PKK Desa" prompt="TP. PKK Desa Perempuan_x000a_(Terisi dari Unggah Template Staf Petugas Desa dan Lembaga Kemasayarakatan Desa)" sqref="H84" xr:uid="{00000000-0002-0000-0100-000079000000}">
      <formula1>0</formula1>
    </dataValidation>
    <dataValidation type="list" allowBlank="1" showInputMessage="1" showErrorMessage="1" promptTitle="Lama/Hari Sedia Layanan Dokter" prompt="1: Tidak memiliki waktu operasional yang tetap_x000a_3: Tersedia 1 kali lebih dari seminggu_x000a_5: Tersedia 1 kali dalam seminggu" sqref="H1833" xr:uid="{00000000-0002-0000-0100-00007A000000}">
      <formula1>"1,3,5"</formula1>
    </dataValidation>
    <dataValidation type="list" allowBlank="1" showInputMessage="1" showErrorMessage="1" promptTitle="Pendampingan Bidang Kesehatan" prompt="0: Tidak Ada_x000a_1: Ada" sqref="H1519" xr:uid="{00000000-0002-0000-0100-00007B000000}">
      <formula1>"0,1"</formula1>
    </dataValidation>
    <dataValidation type="whole" operator="lessThanOrEqual" allowBlank="1" showInputMessage="1" showErrorMessage="1" error="Tidak Terdapat Perkebunan Tembakau. Diisi 0 (NOL)_x000a_Tidak Melebihi Jumlah Penduduk di Desa" promptTitle="Jlh Petani Perkebunan Tembakau" prompt=" _x000a_" sqref="H467" xr:uid="{00000000-0002-0000-0100-00007C000000}">
      <formula1>IF(H461="Tidak ada",0,$H$493)</formula1>
    </dataValidation>
    <dataValidation type="list" allowBlank="1" showInputMessage="1" showErrorMessage="1" promptTitle="Konflik Kel Masy dgn Pemerintah" prompt="Ada_x000a_Tidak Ada" sqref="H1962" xr:uid="{00000000-0002-0000-0100-00007E000000}">
      <formula1>IF($H$1954="Tidak Ada",Tidak_Ada,Ada)</formula1>
    </dataValidation>
    <dataValidation type="list" showInputMessage="1" showErrorMessage="1" promptTitle="Tidak ada Mediator?" prompt="Keterangan:_x000a_0 : Tidak_x000a_1 : Ya" sqref="H827" xr:uid="{00000000-0002-0000-0100-000080000000}">
      <formula1>"0,1"</formula1>
    </dataValidation>
    <dataValidation type="decimal" allowBlank="1" showInputMessage="1" showErrorMessage="1" promptTitle="Total Produksi Panen dalam 1 Thn" prompt="Sebutkan (Ton Per Tahun)" sqref="H1160" xr:uid="{00000000-0002-0000-0100-000082000000}">
      <formula1>0</formula1>
      <formula2>IF(H1038="Tidak ada",0,25000)</formula2>
    </dataValidation>
    <dataValidation operator="greaterThanOrEqual" allowBlank="1" showInputMessage="1" showErrorMessage="1" promptTitle="TOTAL APBDES TAHUN 2024" prompt="Sudah Terhitung secara Otomatis" sqref="H1609" xr:uid="{00000000-0002-0000-0100-000083000000}"/>
    <dataValidation type="decimal" operator="lessThanOrEqual" allowBlank="1" showInputMessage="1" showErrorMessage="1" promptTitle="Jarak RS Bersalin Terdekat" prompt="(Meter)" sqref="H567 H551" xr:uid="{00000000-0002-0000-0100-000084000000}">
      <formula1>300000</formula1>
    </dataValidation>
    <dataValidation type="list" allowBlank="1" showInputMessage="1" showErrorMessage="1" promptTitle="Desa Sadar Hukum" prompt="Ya_x000a_Tidak" sqref="H111" xr:uid="{00000000-0002-0000-0100-000085000000}">
      <formula1>"Ya, Tidak"</formula1>
    </dataValidation>
    <dataValidation type="decimal" operator="lessThanOrEqual" allowBlank="1" showInputMessage="1" showErrorMessage="1" error="Tidak terdapat Keveradaan Hutan Mangrove._x000a_Diisi 0 (NOL)" promptTitle="Luas Area Hutan Mangrove" prompt="(Dalam Satuan Luas Ha)_x000a_1 Km2 = 100 Ha" sqref="H484" xr:uid="{00000000-0002-0000-0100-000086000000}">
      <formula1>IF(H483="Tidak Ada",0,25000)</formula1>
    </dataValidation>
    <dataValidation type="decimal" allowBlank="1" showInputMessage="1" showErrorMessage="1" error="Tidak Terdapat Produk Unggulan,_x000a_Diisi 0 (Nol)" promptTitle="Luas Lahan Tanaman " prompt="(Dalam Satuan Luas Ha)_x000a_1 Km2 = 100 Ha" sqref="H1061" xr:uid="{00000000-0002-0000-0100-000087000000}">
      <formula1>0</formula1>
      <formula2>IF(H1038="Tidak Ada",0,25000)</formula2>
    </dataValidation>
    <dataValidation type="list" operator="lessThanOrEqual" allowBlank="1" showInputMessage="1" showErrorMessage="1" promptTitle="Tujuan Pasar Hasil Panen " prompt="Domestik (Dalam Negeri)_x000a_Ekspor (Luar Negeri)_x000a__x000a_" sqref="H478" xr:uid="{00000000-0002-0000-0100-000088000000}">
      <formula1>IF(H470="Tidak ada",Tidak_Ada,Pasar)</formula1>
    </dataValidation>
    <dataValidation type="decimal" allowBlank="1" showInputMessage="1" showErrorMessage="1" promptTitle="Total Produksi Panen dalam 1 Thn" prompt="Sebutkan (Ton Per Tahun)" sqref="H1271" xr:uid="{00000000-0002-0000-0100-000089000000}">
      <formula1>0</formula1>
      <formula2>IF(H1050="Tidak ada",0,25000)</formula2>
    </dataValidation>
    <dataValidation allowBlank="1" showInputMessage="1" showErrorMessage="1" promptTitle="Pengelola Wisata Kuliner" prompt="Sebutkan" sqref="H222" xr:uid="{00000000-0002-0000-0100-00008A000000}"/>
    <dataValidation type="list" allowBlank="1" showInputMessage="1" showErrorMessage="1" promptTitle="Terdapat Hutan Rakyat di Desa" prompt="Ada_x000a_Tidak Ada" sqref="H259" xr:uid="{00000000-0002-0000-0100-00008B000000}">
      <formula1>"Ada, Tidak Ada"</formula1>
    </dataValidation>
    <dataValidation type="textLength" allowBlank="1" showInputMessage="1" showErrorMessage="1" error="Diisi dengan Benar" promptTitle="Titik Koordinat Timestamp diDesa" prompt="Diambil dari hasil foto aplikasi TIMESTAMP_x000a_Contoh: _x000a_2.88229393S 108.23985578E_x000a_(Lihat Buku Panduan)" sqref="H27" xr:uid="{00000000-0002-0000-0100-00008C000000}">
      <formula1>24</formula1>
      <formula2>27</formula2>
    </dataValidation>
    <dataValidation type="whole" allowBlank="1" showInputMessage="1" showErrorMessage="1" errorTitle="CEK KONFLIK DI DESA 1 TAHUN" error="Batas isian Max 100 Kasus/tahun_x000a_Jika dalm 1 Tahun Terakhir TIDAK ADA konflik di Desa. Diisi angka 0 (NOL)" prompt="IDM S 376.e" sqref="H1963" xr:uid="{00000000-0002-0000-0100-00008D000000}">
      <formula1>0</formula1>
      <formula2>IF($H$244="Ada",100,0)</formula2>
    </dataValidation>
    <dataValidation type="list" allowBlank="1" showInputMessage="1" showErrorMessage="1" promptTitle="Jenis Kelamin Kasi Kesejahteraan" prompt="Laki- Laki_x000a_Perempuan" sqref="H59" xr:uid="{00000000-0002-0000-0100-00008E000000}">
      <formula1>"Laki-Laki, Perempuan"</formula1>
    </dataValidation>
    <dataValidation allowBlank="1" showInputMessage="1" showErrorMessage="1" promptTitle="Bumdesa Perdagangan Bid P'tanian" prompt="(SEBUTKAN)" sqref="H1416" xr:uid="{00000000-0002-0000-0100-00008F000000}"/>
    <dataValidation type="whole" operator="lessThanOrEqual" allowBlank="1" showInputMessage="1" showErrorMessage="1" promptTitle="Jarak Bank Swasta Terdekat" prompt="(Meter)" sqref="H1388" xr:uid="{00000000-0002-0000-0100-000090000000}">
      <formula1>250000</formula1>
    </dataValidation>
    <dataValidation type="list" allowBlank="1" showInputMessage="1" showErrorMessage="1" promptTitle="T'sedia Transportasi ke Kedai/RM" prompt="Ada_x000a_Tidak Ada" sqref="H2044" xr:uid="{00000000-0002-0000-0100-000091000000}">
      <formula1>"Ada, Tidak Ada"</formula1>
    </dataValidation>
    <dataValidation type="custom" operator="lessThanOrEqual" allowBlank="1" showInputMessage="1" showErrorMessage="1" errorTitle="Perhatikan Inputan Data" error="Total Penduduk Berdasarkan Struktur Usia Tidak Bisa Lebih Besar dari Total Penduduk di Desa" promptTitle="Penduduk Berdasarkan Usia" prompt="&gt;59 Tahun" sqref="H509" xr:uid="{00000000-0002-0000-0100-000092000000}">
      <formula1>SUM($H$503:$H$509)&lt;=$H$493</formula1>
    </dataValidation>
    <dataValidation allowBlank="1" showInputMessage="1" showErrorMessage="1" promptTitle="Aktivitas Wisata Desa Wisata" prompt="Contoh:_x000a_Fotografi, Belanja, Budaya Tradisional" sqref="H206" xr:uid="{00000000-0002-0000-0100-000093000000}"/>
    <dataValidation type="decimal" allowBlank="1" showInputMessage="1" showErrorMessage="1" error="Tidak Terdapat Produk Unggulan,_x000a_Diisi 0 (Nol)" promptTitle="Luas Lahan Tanaman " prompt="(Dalam Satuan Luas Ha)_x000a_1 Km2 = 100 Ha" sqref="H1039" xr:uid="{00000000-0002-0000-0100-000094000000}">
      <formula1>0</formula1>
      <formula2>IF(H1038="Tidak Ada",0,25000)</formula2>
    </dataValidation>
    <dataValidation type="decimal" operator="lessThanOrEqual" allowBlank="1" showInputMessage="1" showErrorMessage="1" error="Tidak Tedapat Tambang Tanah Uruk_x000a_Diisi 0 (NOL)" promptTitle="Luas Tambang Tanah Uruk" prompt="(Dalam Satuan Luas Ha)_x000a_1 Km2 = 100 Ha" sqref="H379" xr:uid="{00000000-0002-0000-0100-000095000000}">
      <formula1>IF(H378="Tidak Ada",0,25000)</formula1>
    </dataValidation>
    <dataValidation type="list" showInputMessage="1" showErrorMessage="1" promptTitle="TV swasta" prompt="Siaran program televisi saluran swasta_x000a_0: Tidak_x000a_1: Ya" sqref="H942" xr:uid="{00000000-0002-0000-0100-000096000000}">
      <formula1>"0,1"</formula1>
    </dataValidation>
    <dataValidation type="custom" operator="lessThanOrEqual" allowBlank="1" showInputMessage="1" showErrorMessage="1" errorTitle="DATA TIDAK RASIONAL" error="Jumlah KK memiliki Rumah dan KK tidak Memiliki Rumah harus LEBIH KECIL dari TOTAL KK di Desa" promptTitle="Jlh KK yg Memiliki Rumah" prompt="Input Dengan Angka" sqref="H875" xr:uid="{00000000-0002-0000-0100-000097000000}">
      <formula1>($H$875+$H$876)&lt;=$H$499</formula1>
    </dataValidation>
    <dataValidation type="decimal" allowBlank="1" showInputMessage="1" showErrorMessage="1" error="Tidak Terdapat Produk Unggulan,_x000a_Diisi 0 (Nol)" promptTitle="Luas Lahan Tanaman " prompt="(Dalam Satuan Luas Ha)_x000a_1 Km2 = 100 Ha" sqref="H1147" xr:uid="{00000000-0002-0000-0100-000098000000}">
      <formula1>0</formula1>
      <formula2>IF(H1038="Tidak Ada",0,25000)</formula2>
    </dataValidation>
    <dataValidation type="whole" operator="lessThanOrEqual" allowBlank="1" showInputMessage="1" showErrorMessage="1" promptTitle="Jlh Disabilitas Lahir" prompt=" " sqref="H853" xr:uid="{00000000-0002-0000-0100-000099000000}">
      <formula1>50</formula1>
    </dataValidation>
    <dataValidation type="whole" allowBlank="1" showInputMessage="1" showErrorMessage="1" promptTitle="Frek Kejadian Bencana" prompt="Kekeringan_x000a_(Kali/Tahun)" sqref="H1495" xr:uid="{00000000-0002-0000-0100-00009A000000}">
      <formula1>0</formula1>
      <formula2>24</formula2>
    </dataValidation>
    <dataValidation type="list" allowBlank="1" showInputMessage="1" showErrorMessage="1" promptTitle="Hari Operasional Layanan Bank" prompt="1: Tidak terdapat layanan perbankan_x000a_2: Waktu pelayanan tidak pasti_x000a_3: Beroperasi 1-3 hari seminggu_x000a_4: Beroperasi 4-5 hari seminggu_x000a_5: Beroperasi &gt;5 hari seminggu" sqref="H2068" xr:uid="{00000000-0002-0000-0100-00009B000000}">
      <formula1>"1,2,3,4,5"</formula1>
    </dataValidation>
    <dataValidation type="list" allowBlank="1" showInputMessage="1" showErrorMessage="1" promptTitle="Terdapat Gudang Milik Pemerintah" prompt="Ada_x000a_Tidak Ada" sqref="H1380" xr:uid="{00000000-0002-0000-0100-00009C000000}">
      <formula1>"Ada, Tidak Ada"</formula1>
    </dataValidation>
    <dataValidation type="whole" operator="lessThanOrEqual" allowBlank="1" showInputMessage="1" showErrorMessage="1" errorTitle="PERHATIKAN JUMLAH PENDUDUK" error="CEK JUMLAH PENDUDUK DI DESA, Tidak dapat Melebihi Jumlah Penduduk._x000a_Tidak Terdapat Tambang Tanah Liat_x000a_(Hanya diInput Angka)" promptTitle="Jlh Naker Tambang Tanah Liat" prompt=" (Diisi Angka)" sqref="H350" xr:uid="{00000000-0002-0000-0100-00009D000000}">
      <formula1>IF(H348="tidak ada",0,$H$493)</formula1>
    </dataValidation>
    <dataValidation type="list" allowBlank="1" showInputMessage="1" showErrorMessage="1" promptTitle="Buku Kas Pembantu" prompt="Diisi_x000a_Tidak Diisi" sqref="H2173" xr:uid="{00000000-0002-0000-0100-00009E000000}">
      <formula1>IF($H$2167="Belum",Tidak_Diisi,Diisi)</formula1>
    </dataValidation>
    <dataValidation type="list" showInputMessage="1" showErrorMessage="1" promptTitle="Sumber Air untuk Mandi dan Cuci" prompt="Sumber Air Hujan_x000a_Keterangan_x000a_0 : Tidak_x000a_1 : Ya" sqref="H901" xr:uid="{00000000-0002-0000-0100-00009F000000}">
      <formula1>"0,1"</formula1>
    </dataValidation>
    <dataValidation type="decimal" allowBlank="1" showInputMessage="1" showErrorMessage="1" error="Tidak Terdapat Produk Unggulan,_x000a_Diisi 0 (Nol)" promptTitle="Luas Lahan Tanaman " prompt="(Dalam Satuan Luas Ha)_x000a_1 Km2 = 100 Ha" sqref="H1113" xr:uid="{00000000-0002-0000-0100-0000A0000000}">
      <formula1>0</formula1>
      <formula2>IF(H1038="Tidak Ada",0,25000)</formula2>
    </dataValidation>
    <dataValidation type="decimal" allowBlank="1" showInputMessage="1" showErrorMessage="1" error="Tidak Terdapat Produk Unggulan,_x000a_Diisi 0 (Nol)" promptTitle="Luas Lahan Tanaman " prompt="(Dalam Satuan Luas Ha)_x000a_1 Km2 = 100 Ha" sqref="H1064" xr:uid="{00000000-0002-0000-0100-0000A1000000}">
      <formula1>0</formula1>
      <formula2>IF(H1038="Tidak Ada",0,25000)</formula2>
    </dataValidation>
    <dataValidation allowBlank="1" showInputMessage="1" showErrorMessage="1" promptTitle="Pengelola Wisata Buatan Embung" prompt="Sebutkan" sqref="H178" xr:uid="{00000000-0002-0000-0100-0000A2000000}"/>
    <dataValidation type="decimal" operator="lessThanOrEqual" allowBlank="1" showInputMessage="1" showErrorMessage="1" promptTitle="Jarak Puskesmat Inap Terdekat" prompt="(Meter)" sqref="H555" xr:uid="{00000000-0002-0000-0100-0000A3000000}">
      <formula1>300000</formula1>
    </dataValidation>
    <dataValidation type="list" allowBlank="1" showInputMessage="1" showErrorMessage="1" promptTitle="Terdapat Perkebunan Kopi" prompt="Ada_x000a_Tidak Ada" sqref="H425" xr:uid="{00000000-0002-0000-0100-0000A4000000}">
      <formula1>"Ada, Tidak Ada"</formula1>
    </dataValidation>
    <dataValidation type="list" allowBlank="1" showInputMessage="1" showErrorMessage="1" promptTitle="Kelola Perkebunan Klp Sawit" prompt="Tidak Ada_x000a_Pemerintah_x000a_BUMN_x000a_BUMD_x000a_Swasta_x000a_Perorangan" sqref="H409" xr:uid="{00000000-0002-0000-0100-0000A5000000}">
      <formula1>IF(H407="Tidak ada",Tidak_Ada,kebun)</formula1>
    </dataValidation>
    <dataValidation type="list" showInputMessage="1" showErrorMessage="1" promptTitle="Air Minum dr Sungai/Danau/Kolam" prompt="Keterangan:_x000a_0 : Tidak_x000a_1 : Ya" sqref="H890" xr:uid="{00000000-0002-0000-0100-0000A6000000}">
      <formula1>"0,1"</formula1>
    </dataValidation>
    <dataValidation type="list" allowBlank="1" showInputMessage="1" showErrorMessage="1" promptTitle="Usulan Kel Perempuan/Marjinal" prompt="0: Tidak Ada_x000a_1: Ada" sqref="H2227" xr:uid="{00000000-0002-0000-0100-0000A7000000}">
      <formula1>"0,1"</formula1>
    </dataValidation>
    <dataValidation type="list" allowBlank="1" showInputMessage="1" showErrorMessage="1" promptTitle="Pihak Pengelola Wisata Lainnya" prompt="Tidak Ada_x000a_Pemerintah_x000a_Swasta_x000a_BUMN_x000a_BUMD_x000a_BUM Des_x000a_BUM Des Bersama_x000a_Kelompok_x000a_Pribadi_x000a_Lainnya" sqref="H169" xr:uid="{00000000-0002-0000-0100-0000A8000000}">
      <formula1>IF(H166="Tidak Ada",Tidak_Ada,Pengelola_wisata)</formula1>
    </dataValidation>
    <dataValidation type="whole" operator="lessThanOrEqual" allowBlank="1" showInputMessage="1" showErrorMessage="1" errorTitle="PERHATIKAN JUMLAH PENDUDUK" error="CEK JUMLAH PENDUDUK DI DESA, Tidak dapat Melebihi Jumlah Penduduk._x000a_Tidak Terdapat Tambang Batu Kali_x000a_(Hanya diInput Angka)" promptTitle="Jlh Naker Tambang Batu Kali" prompt=" (Diisi Angka)" sqref="H374" xr:uid="{00000000-0002-0000-0100-0000A9000000}">
      <formula1>IF(H372="tidak ada",0,$H$493)</formula1>
    </dataValidation>
    <dataValidation type="decimal" allowBlank="1" showInputMessage="1" showErrorMessage="1" promptTitle="Luas Lahan Tanaman Talas" prompt="(Dalam Satuan Luas Ha)_x000a_1 Km2 = 100 Ha" sqref="H1001" xr:uid="{00000000-0002-0000-0100-0000AA000000}">
      <formula1>0</formula1>
      <formula2>IF(H1000="tidak ada",0,25000)</formula2>
    </dataValidation>
    <dataValidation type="whole" allowBlank="1" showInputMessage="1" showErrorMessage="1" promptTitle="Nomor Telp Sekdes yg Aktif" prompt="Di isi tanpa awalan angka NOL (0)_x000a_contoh:_x000a_8171234567890" sqref="H49" xr:uid="{00000000-0002-0000-0100-0000AB000000}">
      <formula1>8111111111</formula1>
      <formula2>88888888888</formula2>
    </dataValidation>
    <dataValidation allowBlank="1" showInputMessage="1" showErrorMessage="1" promptTitle="Pihak Kelola Tambang Tanah Liat" prompt="Sebutkan_x000a_" sqref="H353" xr:uid="{00000000-0002-0000-0100-0000AC000000}"/>
    <dataValidation type="list" allowBlank="1" showInputMessage="1" showErrorMessage="1" promptTitle="Kegiatan Pelestarian Lingkungan" prompt="1: Tidak Ada_x000a_5: Ada" sqref="H2081" xr:uid="{00000000-0002-0000-0100-0000AD000000}">
      <formula1>"1,5"</formula1>
    </dataValidation>
    <dataValidation allowBlank="1" showInputMessage="1" showErrorMessage="1" promptTitle="Terdapat LPMD" prompt="0: Tidak Ada_x000a_1: Ada_x000a_(IDM 132.c)" sqref="H2203" xr:uid="{00000000-0002-0000-0100-0000AE000000}"/>
    <dataValidation allowBlank="1" showInputMessage="1" showErrorMessage="1" promptTitle="Pengelola Wisata Sejarah &amp;Religi" prompt="Sebutkan" sqref="H215" xr:uid="{00000000-0002-0000-0100-0000AF000000}"/>
    <dataValidation allowBlank="1" showInputMessage="1" showErrorMessage="1" promptTitle="Dampak Kondisi Infrastruktur" prompt=" " sqref="H394" xr:uid="{00000000-0002-0000-0100-0000B0000000}"/>
    <dataValidation type="list" allowBlank="1" showInputMessage="1" showErrorMessage="1" promptTitle="Status kelola Tambang Aspal" prompt="Tidak Ada_x000a_Pemerintah_x000a_BUMN_x000a_BUMD_x000a_Swasta_x000a_Perorangan_x000a_Lainnya" sqref="H282" xr:uid="{00000000-0002-0000-0100-0000B1000000}">
      <formula1>IF($H278="tidak ada",Tidak_Ada,Tambang)</formula1>
    </dataValidation>
    <dataValidation allowBlank="1" showInputMessage="1" showErrorMessage="1" promptTitle="Periode Kerjasama" prompt="contoh_x000a_(5 April 2021 sd 5 April 2022)" sqref="H1579" xr:uid="{00000000-0002-0000-0100-0000B2000000}"/>
    <dataValidation type="list" allowBlank="1" showInputMessage="1" showErrorMessage="1" promptTitle="Pihak Pengelola Wisata Budaya" prompt="Tidak Ada_x000a_Pemerintah_x000a_Swasta_x000a_BUMN_x000a_BUMD_x000a_BUM Des_x000a_BUM Des Bersama_x000a_Kelompok_x000a_Pribadi_x000a_Lainnya" sqref="H207" xr:uid="{00000000-0002-0000-0100-0000B3000000}">
      <formula1>IF(H205="Tidak Ada",Tidak_Ada,Pengelola_wisata)</formula1>
    </dataValidation>
    <dataValidation type="list" showInputMessage="1" showErrorMessage="1" promptTitle="Air Minum dr Ledeng Tanpa Metern" prompt="Keterangan:_x000a_0 : Tidak_x000a_1 : Ya" sqref="H886" xr:uid="{00000000-0002-0000-0100-0000B4000000}">
      <formula1>"0,1"</formula1>
    </dataValidation>
    <dataValidation type="list" showInputMessage="1" showErrorMessage="1" promptTitle="Warung/Kedai" prompt="Terdapat warung/kedai makanan dan minuman di Desa_x000a_0 : Tidak Ada_x000a_1 : Ada" sqref="H1358" xr:uid="{00000000-0002-0000-0100-0000B5000000}">
      <formula1>"0,1"</formula1>
    </dataValidation>
    <dataValidation type="whole" operator="lessThanOrEqual" allowBlank="1" showInputMessage="1" showErrorMessage="1" promptTitle="Waktu Tempuh" prompt="Diukur dari Kantor Desa atau Pusat Keramaian_x000a_Menggunakan Kendaraan Bermotor" sqref="H564 H544 H560 H580 H572 H576 H556 H552 H568 H548" xr:uid="{00000000-0002-0000-0100-0000B7000000}">
      <formula1>1200</formula1>
    </dataValidation>
    <dataValidation type="decimal" allowBlank="1" showInputMessage="1" showErrorMessage="1" promptTitle="Total Produksi Panen dalam 1 Thn" prompt="Sebutkan (Ton Per Tahun)" sqref="H1213" xr:uid="{00000000-0002-0000-0100-0000B8000000}">
      <formula1>0</formula1>
      <formula2>IF(H1038="Tidak ada",0,25000)</formula2>
    </dataValidation>
    <dataValidation type="decimal" allowBlank="1" showInputMessage="1" showErrorMessage="1" error="Tidak Terdapat Produk Unggulan,_x000a_Diisi 0 (Nol)" promptTitle="Total Produksi Panen dalam 1 Thn" prompt="Sebutkan (Ton Per Tahun)" sqref="H1275" xr:uid="{00000000-0002-0000-0100-0000B9000000}">
      <formula1>0</formula1>
      <formula2>IF(LEN(H1274)&lt;3,0,25000)</formula2>
    </dataValidation>
    <dataValidation type="whole" allowBlank="1" showInputMessage="1" showErrorMessage="1" promptTitle="Nomor Telp Petugas yg Aktif" prompt="Di isi tanpa awalan angka NOL (0)_x000a_contoh:_x000a_8171234567890" sqref="H8" xr:uid="{00000000-0002-0000-0100-0000BA000000}">
      <formula1>8111111111</formula1>
      <formula2>88888888888</formula2>
    </dataValidation>
    <dataValidation type="list" showInputMessage="1" showErrorMessage="1" promptTitle="Terdapat Kelompok Seni adat?" prompt="Keterangan:_x000a_0 : Tidak Ada_x000a_1 : Ada" sqref="H793" xr:uid="{00000000-0002-0000-0100-0000BB000000}">
      <formula1>"0,1"</formula1>
    </dataValidation>
    <dataValidation type="decimal" operator="lessThanOrEqual" allowBlank="1" showInputMessage="1" showErrorMessage="1" error="Tidak Tedapat Tambang Batu Kerikil_x000a_Diisi 0 (NOL)" promptTitle="Luas Tambang Batu Kerikil" prompt="(Dalam Satuan Luas Ha)_x000a_1 Km2 = 100 Ha" sqref="H367" xr:uid="{00000000-0002-0000-0100-0000BC000000}">
      <formula1>IF(H366="Tidak Ada",0,25000)</formula1>
    </dataValidation>
    <dataValidation type="whole" operator="greaterThanOrEqual" allowBlank="1" showInputMessage="1" showErrorMessage="1" promptTitle="Lain-lain Tahun 2024" prompt=" " sqref="H1606" xr:uid="{00000000-0002-0000-0100-0000BD000000}">
      <formula1>0</formula1>
    </dataValidation>
    <dataValidation allowBlank="1" showInputMessage="1" showErrorMessage="1" promptTitle="SK Pengelolaan Bumdesa" prompt=" " sqref="H1458" xr:uid="{00000000-0002-0000-0100-0000BE000000}"/>
    <dataValidation type="list" allowBlank="1" showInputMessage="1" showErrorMessage="1" promptTitle="Pemanfaatan Sampah yg Dilakukan" prompt="1: Tidak dimanfaatkan_x000a_5: Dimanfaatkan dan memiliki nilai jual" sqref="H2090" xr:uid="{00000000-0002-0000-0100-0000BF000000}">
      <formula1>"1,5"</formula1>
    </dataValidation>
    <dataValidation allowBlank="1" showInputMessage="1" showErrorMessage="1" promptTitle="APM Usia 16-18 SMA/SMK/Sederajat" prompt="1: 0 - 20%_x000a_2: &gt;20 - 40%_x000a_3: &gt;40 - 60%_x000a_4: &gt;60 - 80%_x000a_5: &gt;80 - 100%" sqref="H1781" xr:uid="{00000000-0002-0000-0100-0000C0000000}"/>
    <dataValidation type="list" allowBlank="1" showInputMessage="1" showErrorMessage="1" promptTitle="Layanan SD/MI/Sederajat" prompt="Pemerintah_x000a_Swasta_x000a_Masyarakat" sqref="H1749" xr:uid="{00000000-0002-0000-0100-0000C1000000}">
      <formula1>"Pemerintah, Swasta, Masyarakat"</formula1>
    </dataValidation>
    <dataValidation allowBlank="1" showInputMessage="1" showErrorMessage="1" promptTitle="Ket Pjalanan Desa ke Bupati/Wali" prompt="Contoh:_x000a_Menggunakan Kapal Penyebrangan dan dilanjutkan kendaraan umum di Kabupaten" sqref="H1705" xr:uid="{00000000-0002-0000-0100-0000C2000000}"/>
    <dataValidation allowBlank="1" showInputMessage="1" showErrorMessage="1" promptTitle="Akitivitas Wisata Pantai" prompt="Contoh:_x000a_Berjemur, Olahraga, Piknik" sqref="H118" xr:uid="{00000000-0002-0000-0100-0000C3000000}"/>
    <dataValidation type="whole" allowBlank="1" showInputMessage="1" showErrorMessage="1" promptTitle="Jlh Fasilitas Lap Tenis" prompt="(Unit)" sqref="H769" xr:uid="{00000000-0002-0000-0100-0000C4000000}">
      <formula1>0</formula1>
      <formula2>10</formula2>
    </dataValidation>
    <dataValidation allowBlank="1" showInputMessage="1" showErrorMessage="1" promptTitle="Jenis Permukaan Jalan" prompt="1: Tidak ada akses apapun_x000a_2: Akses lainnya_x000a_3: Tanah_x000a_4: Diperkeras (kerikil, batu, dll)_x000a_5: Aspal/beton_x000a_(IDM E 559)" sqref="H2122" xr:uid="{00000000-0002-0000-0100-0000C5000000}"/>
    <dataValidation type="list" allowBlank="1" showInputMessage="1" showErrorMessage="1" promptTitle="Terdapat Kawasan Tambang di Desa" prompt="Ada_x000a_Tidak Ada" sqref="H263" xr:uid="{00000000-0002-0000-0100-0000C6000000}">
      <formula1>"Ada, Tidak Ada"</formula1>
    </dataValidation>
    <dataValidation type="list" allowBlank="1" showInputMessage="1" showErrorMessage="1" promptTitle="Jenis Program Kerja" prompt="0: Tidak Ada_x000a_1: Bantuan Sosial_x000a_2: Forum Silahturahmi Kelompok SPP_x000a_3: Peningkatan Kapasitas Pengurusan BKAD_x000a_4: BUMDesma_x000a_5: Studi Banding_x000a_6: Lainnya" sqref="H1591" xr:uid="{00000000-0002-0000-0100-0000C7000000}">
      <formula1>"0,1,2,3,4,5,6"</formula1>
    </dataValidation>
    <dataValidation type="list" allowBlank="1" showInputMessage="1" showErrorMessage="1" promptTitle="Tersedia Transportasi ke Pasar" prompt="Ada_x000a_Tidak Ada" sqref="H2032" xr:uid="{00000000-0002-0000-0100-0000C8000000}">
      <formula1>"Ada, Tidak Ada"</formula1>
    </dataValidation>
    <dataValidation allowBlank="1" showInputMessage="1" showErrorMessage="1" promptTitle="Transportasi Lainnya" prompt="(Sebutkan)" sqref="H1808" xr:uid="{00000000-0002-0000-0100-0000C9000000}"/>
    <dataValidation type="whole" operator="lessThanOrEqual" allowBlank="1" showInputMessage="1" showErrorMessage="1" errorTitle="PERHATIKAN JUMLAH PENDUDUK" error="CEK JUMLAH PENDUDUK DI DESA, Tidak dapat Melebihi Jumlah Penduduk. Tidak Terdapat Tambang Emas_x000a_(Hanya diInput Angka)" promptTitle="Jlh Naker Lokal Tambang Emas" prompt=" (Diisi Angka)" sqref="H325" xr:uid="{00000000-0002-0000-0100-0000CA000000}">
      <formula1>IF(H322="tidak ada",0,$H$493)</formula1>
    </dataValidation>
    <dataValidation type="whole" operator="lessThanOrEqual" allowBlank="1" showInputMessage="1" showErrorMessage="1" error="Tidak Terdapat Perkebunan Kopi. Diisi 0 (NOL)_x000a_Tidak Melebihi Jumlah Penduduk di Desa" promptTitle="Jlh Petani Perkebunan Kopi" prompt=" _x000a_" sqref="H431" xr:uid="{00000000-0002-0000-0100-0000CB000000}">
      <formula1>IF(H425="Tidak ada",0,$H$493)</formula1>
    </dataValidation>
    <dataValidation type="list" showInputMessage="1" showErrorMessage="1" promptTitle="Tdpt Lembaga/Kelompok Pengrajin?" prompt="Keterangan:_x000a_0 : Tidak Ada_x000a_1 : Ada" sqref="H752" xr:uid="{00000000-0002-0000-0100-0000CC000000}">
      <formula1>"0,1"</formula1>
    </dataValidation>
    <dataValidation allowBlank="1" showInputMessage="1" showErrorMessage="1" prompt="IDM 108.b" sqref="H1714" xr:uid="{00000000-0002-0000-0100-0000CD000000}"/>
    <dataValidation type="list" allowBlank="1" showInputMessage="1" showErrorMessage="1" promptTitle="Tersedia Tempat Praktik Bidan" prompt="Tersedia_x000a_Tidak Tersedia" sqref="H1794" xr:uid="{00000000-0002-0000-0100-0000CE000000}">
      <formula1>"Tersedia, Tidak Tersedia"</formula1>
    </dataValidation>
    <dataValidation type="whole" allowBlank="1" showInputMessage="1" showErrorMessage="1" promptTitle="Jlh Kegiatan Pemberdayaan LKD" prompt="(Diisi Angka)" sqref="H2207" xr:uid="{00000000-0002-0000-0100-0000CF000000}">
      <formula1>0</formula1>
      <formula2>24</formula2>
    </dataValidation>
    <dataValidation type="decimal" allowBlank="1" showInputMessage="1" showErrorMessage="1" promptTitle="Total Produksi Panen dalam 1 Thn" prompt="Sebutkan (Ton Per Tahun)" sqref="H1200" xr:uid="{00000000-0002-0000-0100-0000D0000000}">
      <formula1>0</formula1>
      <formula2>IF(H1038="Tidak ada",0,25000)</formula2>
    </dataValidation>
    <dataValidation type="list" allowBlank="1" showInputMessage="1" showErrorMessage="1" promptTitle="Status kelola Tambang Nikel" prompt="Tidak Ada_x000a_Pemerintah_x000a_BUMN_x000a_BUMD_x000a_Swasta_x000a_Perorangan_x000a_Lainnya" sqref="H294" xr:uid="{00000000-0002-0000-0100-0000D1000000}">
      <formula1>IF($H290="tidak ada",Tidak_Ada,Tambang)</formula1>
    </dataValidation>
    <dataValidation type="whole" allowBlank="1" showInputMessage="1" showErrorMessage="1" prompt="IDM 266.b" sqref="H1743" xr:uid="{00000000-0002-0000-0100-0000D3000000}">
      <formula1>0</formula1>
      <formula2>200</formula2>
    </dataValidation>
    <dataValidation type="custom" operator="lessThanOrEqual" allowBlank="1" showInputMessage="1" showErrorMessage="1" errorTitle="Perhatikan Inputan Data" error="Total Penduduk Berdasarkan Struktur Usia Tidak Bisa Lebih Besar dari Total Penduduk di Desa" promptTitle="Penduduk Berdasarkan Usia" prompt="7-12 Tahun" sqref="H505" xr:uid="{00000000-0002-0000-0100-0000D4000000}">
      <formula1>SUM($H$503:$H$509)&lt;=$H$493</formula1>
    </dataValidation>
    <dataValidation type="list" allowBlank="1" showInputMessage="1" showErrorMessage="1" promptTitle="Kualitas Jalan  di desa" prompt="1: Rusak berat, tidak dapat dilalui setiap hari_x000a_2: Rusak sedang, tidak dapat dilalui setiap hari_x000a_4: Rusak sedang, dapat dilalui setiap hari_x000a_5: Baik, dapat dilalui setiap hari_x000a_(IDM S 560)" sqref="H2128" xr:uid="{00000000-0002-0000-0100-0000D5000000}">
      <formula1>IF($H$1471=1,Jalan_Baik,IF($H$1471=2,Sedang,Berat))</formula1>
    </dataValidation>
    <dataValidation type="decimal" operator="lessThanOrEqual" allowBlank="1" showInputMessage="1" showErrorMessage="1" promptTitle="Total Produksi Panen dalam 1 Thn" prompt="Sebutkan (Ton Per Tahun)" sqref="H999" xr:uid="{00000000-0002-0000-0100-0000D6000000}">
      <formula1>IF(H960="tidak ada",0,25000)</formula1>
    </dataValidation>
    <dataValidation type="decimal" operator="lessThanOrEqual" allowBlank="1" showInputMessage="1" showErrorMessage="1" promptTitle="Luas Hutan Negara dikelola BKSDA" prompt="(Dalam Satuan Luas Ha)_x000a_1 Km2 = 100 Ha" sqref="H254" xr:uid="{00000000-0002-0000-0100-0000D7000000}">
      <formula1>25000</formula1>
    </dataValidation>
    <dataValidation type="decimal" allowBlank="1" showInputMessage="1" showErrorMessage="1" error="Tidak Terdapat Produk Unggulan,_x000a_Diisi 0 (Nol)" promptTitle="Luas Lahan Tanaman " prompt="(Dalam Satuan Luas Ha)_x000a_1 Km2 = 100 Ha" sqref="H1083" xr:uid="{00000000-0002-0000-0100-0000D8000000}">
      <formula1>0</formula1>
      <formula2>IF(H1038="Tidak Ada",0,25000)</formula2>
    </dataValidation>
    <dataValidation allowBlank="1" showInputMessage="1" showErrorMessage="1" promptTitle="Sumber Listrik Energi Diesel" prompt="Ada_x000a_Tidak Ada_x000a_(IDM S 399.d)" sqref="H1909" xr:uid="{00000000-0002-0000-0100-0000D9000000}"/>
    <dataValidation type="whole" operator="lessThanOrEqual" allowBlank="1" showInputMessage="1" showErrorMessage="1" errorTitle="PERHATIKAN JUMLAH PENDUDUK" error="CEK JUMLAH PENDUDUK DI DESA, Tidak dapat Melebihi Jumlah Penduduk. Tidak Terdapat Tambang Aspal_x000a_(Hanya diInput Angka)" promptTitle="Jlh Naker Lokal Tambang Aspal" prompt=" (Diisi Angka)" sqref="H281" xr:uid="{00000000-0002-0000-0100-0000DA000000}">
      <formula1>IF(H278="tidak ada",0,$H$493)</formula1>
    </dataValidation>
    <dataValidation type="list" allowBlank="1" showInputMessage="1" showErrorMessage="1" promptTitle="Buku Lembaran &amp; Berita Desa" prompt="Diisi_x000a_Tidak Diisi" sqref="H2159" xr:uid="{00000000-0002-0000-0100-0000DB000000}">
      <formula1>IF($H$2150="Belum",Tidak_Diisi,Diisi)</formula1>
    </dataValidation>
    <dataValidation type="list" showInputMessage="1" showErrorMessage="1" promptTitle="Tdapat Bumdesa Perdagangan" prompt="Terdapat Bumdesa Perdagangan Bidang Peternakan _x000a_0: Tidak Ada_x000a_1: Ada" sqref="H1419" xr:uid="{00000000-0002-0000-0100-0000DC000000}">
      <formula1>IF($H$1414=0,Tidak_tersedia,Tersedia)</formula1>
    </dataValidation>
    <dataValidation type="whole" operator="lessThanOrEqual" allowBlank="1" showInputMessage="1" showErrorMessage="1" error="Tidak Terdapat Perkebunan Lainnya. Diisi 0 (NOL)_x000a_Tidak Melebihi Julmlah Penduduk di Desa" promptTitle="Jlh Petani Perkebunan Lainnya" prompt=" _x000a_" sqref="H476" xr:uid="{00000000-0002-0000-0100-0000DD000000}">
      <formula1>IF(H470="Tidak ada",0,$H$493)</formula1>
    </dataValidation>
    <dataValidation type="list" allowBlank="1" showInputMessage="1" showErrorMessage="1" promptTitle="Tempat Pembuangan Sampah di desa" prompt="1: Tidak dibuang ke tempat penampungan sampah_x000a_5: Dibuang ke tempat penampungan sampah" sqref="H2086" xr:uid="{00000000-0002-0000-0100-0000DE000000}">
      <formula1>"1,5"</formula1>
    </dataValidation>
    <dataValidation type="list" allowBlank="1" showInputMessage="1" showErrorMessage="1" promptTitle="Pihak Pengelola Seni &amp; Tradisi" prompt="Tidak Ada_x000a_Pemerintah_x000a_Swasta_x000a_BUMN_x000a_BUMD_x000a_BUM Des_x000a_BUM Des Bersama_x000a_Kelompok_x000a_Pribadi_x000a_Lainnya" sqref="H228" xr:uid="{00000000-0002-0000-0100-0000DF000000}">
      <formula1>IF(H226="Tidak Ada",Tidak_Ada,Pengelola_wisata)</formula1>
    </dataValidation>
    <dataValidation type="list" allowBlank="1" showInputMessage="1" showErrorMessage="1" promptTitle="Terdapat LPMD" prompt="0: Tidak Ada_x000a_1: Ada" sqref="H2208" xr:uid="{00000000-0002-0000-0100-0000E0000000}">
      <formula1>"0,1"</formula1>
    </dataValidation>
    <dataValidation allowBlank="1" showInputMessage="1" showErrorMessage="1" promptTitle="Tersedua BPD" prompt="Ada_x000a_Tidak Ada_x000a_(IDM 132.b)" sqref="H2199" xr:uid="{00000000-0002-0000-0100-0000E1000000}"/>
    <dataValidation type="decimal" operator="lessThanOrEqual" allowBlank="1" showInputMessage="1" showErrorMessage="1" sqref="H687" xr:uid="{00000000-0002-0000-0100-0000E2000000}">
      <formula1>7</formula1>
    </dataValidation>
    <dataValidation type="list" showInputMessage="1" showErrorMessage="1" promptTitle="Ketersediaan BA" prompt="Keterangan:_x000a_0 : Tidak Ada_x000a_1 : Ada" sqref="H717" xr:uid="{00000000-0002-0000-0100-0000E3000000}">
      <formula1>"0,1"</formula1>
    </dataValidation>
    <dataValidation allowBlank="1" showInputMessage="1" showErrorMessage="1" promptTitle="Nama BKAD" prompt=" " sqref="H1584 H1548 H1558" xr:uid="{00000000-0002-0000-0100-0000E4000000}"/>
    <dataValidation type="whole" operator="lessThanOrEqual" allowBlank="1" showInputMessage="1" showErrorMessage="1" promptTitle="Jumlah Penduduk Pergi Tahun 2023" prompt="Input Menggunakan Angka" sqref="H497" xr:uid="{00000000-0002-0000-0100-0000E5000000}">
      <formula1>500</formula1>
    </dataValidation>
    <dataValidation type="decimal" operator="lessThanOrEqual" allowBlank="1" showInputMessage="1" showErrorMessage="1" error="Tidak Tedapat Tambang Batu Bara_x000a_Diisi 0 (NOL)" promptTitle="Luas Tambang Batu Bara" prompt="(Dalam Satuan Luas Ha)_x000a_1 Km2 = 100 Ha" sqref="H285" xr:uid="{00000000-0002-0000-0100-0000E6000000}">
      <formula1>IF(H284="Tidak Ada",0,25000)</formula1>
    </dataValidation>
    <dataValidation type="whole" operator="lessThanOrEqual" allowBlank="1" showInputMessage="1" showErrorMessage="1" promptTitle="Jumlah Industri Menengah di Desa" prompt="Input Menggunakan Angka" sqref="H1342" xr:uid="{00000000-0002-0000-0100-0000E7000000}">
      <formula1>100</formula1>
    </dataValidation>
    <dataValidation type="decimal" operator="lessThanOrEqual" allowBlank="1" showInputMessage="1" showErrorMessage="1" promptTitle="Total Produksi Panen dalam 1 Thn" prompt="Sebutkan (Ton Per Tahun)" sqref="H1031" xr:uid="{00000000-0002-0000-0100-0000E8000000}">
      <formula1>IF(H960="tidak ada",0,25000)</formula1>
    </dataValidation>
    <dataValidation type="list" showInputMessage="1" showErrorMessage="1" promptTitle="Air Minum dari Kemasan" prompt="Keterangan:_x000a_0 : Tidak_x000a_1 : Ya" sqref="H884" xr:uid="{00000000-0002-0000-0100-0000E9000000}">
      <formula1>"0,1"</formula1>
    </dataValidation>
    <dataValidation type="list" allowBlank="1" showInputMessage="1" showErrorMessage="1" promptTitle="Keberfungsian Jamban" prompt="1: Jamban Tidak Berfungsi_x000a_5: Jamban Berfungsi" sqref="H1882" xr:uid="{00000000-0002-0000-0100-0000EA000000}">
      <formula1>"1,5"</formula1>
    </dataValidation>
    <dataValidation type="decimal" operator="lessThanOrEqual" allowBlank="1" showInputMessage="1" showErrorMessage="1" promptTitle="Rata2 Lama Pendidikan SD di desa" prompt=" " sqref="H677" xr:uid="{00000000-0002-0000-0100-0000EB000000}">
      <formula1>10</formula1>
    </dataValidation>
    <dataValidation type="list" showInputMessage="1" showErrorMessage="1" promptTitle="Mayoritas Warga Pakai Parabola" prompt="0: Tidak Ada_x000a_1: Ya, Sebagian Kecil_x000a_2: Ya, Sebagian Besar" sqref="H954" xr:uid="{00000000-0002-0000-0100-0000EC000000}">
      <formula1>"0,1,2"</formula1>
    </dataValidation>
    <dataValidation type="whole" operator="lessThanOrEqual" allowBlank="1" showInputMessage="1" showErrorMessage="1" errorTitle="PERHATIKAN JUMLAH PENDUDUK" error="CEK JUMLAH PENDUDUK DI DESA, Tidak dapat Melebihi Jumlah Penduduk._x000a_Tidak Terdapat Tambang Golongan C Lainnya_x000a_(Hanya diInput Angka)" promptTitle="Jlh Naker Tambang Nikel" prompt=" (Diisi Angka)" sqref="H387" xr:uid="{00000000-0002-0000-0100-0000ED000000}">
      <formula1>IF(H384="tidak ada",0,$H$493)</formula1>
    </dataValidation>
    <dataValidation type="whole" operator="lessThanOrEqual" allowBlank="1" showInputMessage="1" showErrorMessage="1" promptTitle="Jlh Tunadaksa &lt;20thn tdk sklh" prompt=" " sqref="H699" xr:uid="{00000000-0002-0000-0100-0000EE000000}">
      <formula1>250</formula1>
    </dataValidation>
    <dataValidation type="whole" operator="lessThanOrEqual" allowBlank="1" showInputMessage="1" showErrorMessage="1" promptTitle="Jlh KK Manfaatkn Energi Gas" prompt=" " sqref="H921" xr:uid="{00000000-0002-0000-0100-0000EF000000}">
      <formula1>$H$499</formula1>
    </dataValidation>
    <dataValidation type="decimal" operator="lessThanOrEqual" allowBlank="1" showInputMessage="1" showErrorMessage="1" promptTitle="Jarak Penginapan/Hotel T'dekat" prompt="(Meter)" sqref="H1360" xr:uid="{00000000-0002-0000-0100-0000F0000000}">
      <formula1>150000</formula1>
    </dataValidation>
    <dataValidation type="list" allowBlank="1" showInputMessage="1" showErrorMessage="1" promptTitle="Terdapat Transpotasi ke Sarkes" prompt="Ada_x000a_Tidak Ada" sqref="H1801" xr:uid="{00000000-0002-0000-0100-0000F1000000}">
      <formula1>"Ada, Tidak Ada"</formula1>
    </dataValidation>
    <dataValidation allowBlank="1" showInputMessage="1" showErrorMessage="1" promptTitle="Keamanan Menyelesaikan Konflik" prompt="1: Tidak Ada_x000a_5: Ada_x000a_(IDM S 378.b)" sqref="H1974" xr:uid="{00000000-0002-0000-0100-0000F2000000}"/>
    <dataValidation operator="lessThanOrEqual" allowBlank="1" showInputMessage="1" showErrorMessage="1" promptTitle="Wilayah Tujuan Domestik/Ekspor" prompt="Sebutkan Nama Wilayah Kab/kota (Domestik)_x000a_Sebutkan Nama Negara (Ekspor)" sqref="H451 H406 H469 H442 H460 H433 H415 H424 H479" xr:uid="{00000000-0002-0000-0100-0000F3000000}"/>
    <dataValidation type="textLength" operator="lessThanOrEqual" allowBlank="1" showInputMessage="1" showErrorMessage="1" promptTitle="Tanggal Memperingati Hari Desa" prompt="Tanggal Memperingati hari Jadi/Lahir/Terbentuk Desa Setempat_x000a_Contoh:_x000a_(11 April)" sqref="H1511" xr:uid="{00000000-0002-0000-0100-0000F4000000}">
      <formula1>13</formula1>
    </dataValidation>
    <dataValidation type="decimal" allowBlank="1" showInputMessage="1" showErrorMessage="1" error="Tidak Terdapat Produk Unggulan,_x000a_Diisi 0 (Nol)" promptTitle="Luas Lahan Tanaman " prompt="(Dalam Satuan Luas Ha)_x000a_1 Km2 = 100 Ha" sqref="H1095" xr:uid="{00000000-0002-0000-0100-0000F5000000}">
      <formula1>0</formula1>
      <formula2>IF(H1038="Tidak Ada",0,25000)</formula2>
    </dataValidation>
    <dataValidation type="list" allowBlank="1" showInputMessage="1" showErrorMessage="1" promptTitle="Tersedia Tenis Lapangan" prompt="1: Tidak ada fasilitas_x000a_2: Ada, kondisi rusak parah_x000a_3: Ada, Kondisi rusak sedang_x000a_4: Ada, kondisi rusak ringan_x000a_5: Ada, kondisi baik" sqref="H1991" xr:uid="{00000000-0002-0000-0100-0000F6000000}">
      <formula1>"1,2,3,4,5"</formula1>
    </dataValidation>
    <dataValidation showInputMessage="1" showErrorMessage="1" promptTitle="Kredit Lainnya (sebutkan)" prompt="Terdapat fasilitas kredit lainnya (sebutkan)_x000a_" sqref="H1394" xr:uid="{00000000-0002-0000-0100-0000F7000000}"/>
    <dataValidation type="custom" operator="greaterThanOrEqual" allowBlank="1" showInputMessage="1" showErrorMessage="1" errorTitle="JLH PENDUDUK pd BIDANG PEKERJAAN" error="Total pendudukn Berdasarkan PEKERJAAN Harus LEBIH KECIL dari TOTAL PENDUDUK di Desa" promptTitle="Jumlah Pekerjaan Swasta" prompt="Jumlah Pekerja Swasta Perempuan" sqref="H522" xr:uid="{00000000-0002-0000-0100-0000F8000000}">
      <formula1>($H$511+$H$512+$H$513+$H$514+$H$515+$H$516+$H$517+$H$518+$H$519+$H$520+$H$521+$H$522+$H$523+$H$524+$H$525+$H$526+$H$527+$H$528+$H$529+$H$530+$H$531+$H$532+$H$533+$H$534+$H$535)&lt;=$H$493</formula1>
    </dataValidation>
    <dataValidation type="custom" operator="greaterThanOrEqual" allowBlank="1" showInputMessage="1" showErrorMessage="1" promptTitle="Jlh KK BAB Jamban Sendiri" prompt="Input dengan angka" sqref="H906" xr:uid="{00000000-0002-0000-0100-0000F9000000}">
      <formula1>($H$906+$H$907+$H$908+$H$909)&lt;=$H$499</formula1>
    </dataValidation>
    <dataValidation type="textLength" operator="lessThanOrEqual" allowBlank="1" showInputMessage="1" showErrorMessage="1" promptTitle="Wkt Tempuh Desa ke Ktr Gubernur" prompt="diisi dalam ( ) Jam ( ) Menit_x000a__x000a_Contoh:_x000a_1 Jam 20 Menit_x000a_0 Jam 47 Menit" sqref="H1708" xr:uid="{00000000-0002-0000-0100-0000FA000000}">
      <formula1>23</formula1>
    </dataValidation>
    <dataValidation allowBlank="1" showInputMessage="1" showErrorMessage="1" promptTitle="Pihak Kelola Perkebunan Karet" prompt="Sebutkan_x000a_" sqref="H401" xr:uid="{00000000-0002-0000-0100-0000FB000000}"/>
    <dataValidation type="list" showInputMessage="1" showErrorMessage="1" promptTitle="Kerjasama Dengan Pihak Ketiga" prompt="0: Tidak Ada_x000a_1: Ada" sqref="H1566" xr:uid="{00000000-0002-0000-0100-0000FC000000}">
      <formula1>"0,1"</formula1>
    </dataValidation>
    <dataValidation type="list" allowBlank="1" showInputMessage="1" showErrorMessage="1" promptTitle="Terdapat Satkamling" prompt="1: Tidak Ada_x000a_5: Ada" sqref="H1979" xr:uid="{00000000-0002-0000-0100-0000FD000000}">
      <formula1>"1,5"</formula1>
    </dataValidation>
    <dataValidation type="list" allowBlank="1" showInputMessage="1" showErrorMessage="1" promptTitle="Terdapat Pasar Pelelangan Ikan" prompt="0: Tidak Ada_x000a_1: Ada" sqref="H1616" xr:uid="{00000000-0002-0000-0100-0000FF000000}">
      <formula1>"0,1"</formula1>
    </dataValidation>
    <dataValidation type="whole" operator="lessThanOrEqual" allowBlank="1" showInputMessage="1" showErrorMessage="1" errorTitle="PERHATIKAN JUMLAH PENDUDUK" error="CEK JUMLAH PENDUDUK DI DESA, Tidak dapat Melebihi Jumlah Penduduk. Tidak Terdapat Tambang Belerang_x000a_(Hanya diInput Angka)" promptTitle="Jlh Naker Lokal Tambang Belerang" prompt=" (Diisi Angka)" sqref="H319" xr:uid="{00000000-0002-0000-0100-000001010000}">
      <formula1>IF(H316="tidak ada",0,$H$493)</formula1>
    </dataValidation>
    <dataValidation type="decimal" allowBlank="1" showInputMessage="1" showErrorMessage="1" promptTitle="Total Produksi Panen dalam 1 Thn" prompt="Sebutkan (Ton Per Tahun)" sqref="H1117" xr:uid="{00000000-0002-0000-0100-000002010000}">
      <formula1>0</formula1>
      <formula2>IF(H1038="Tidak ada",0,25000)</formula2>
    </dataValidation>
    <dataValidation type="list" allowBlank="1" showInputMessage="1" showErrorMessage="1" promptTitle="Status kelola Tambang MinyakBumi" prompt="Tidak Ada_x000a_Pemerintah_x000a_BUMN_x000a_BUMD_x000a_Swasta_x000a_Perorangan_x000a_Lainnya" sqref="H270" xr:uid="{00000000-0002-0000-0100-000003010000}">
      <formula1>IF($H266="tidak ada",Tidak_Ada,Tambang)</formula1>
    </dataValidation>
    <dataValidation type="list" showInputMessage="1" showErrorMessage="1" promptTitle="Website Desa" prompt="Desa Memiliki Sarana Informasi Website Desa_x000a_0: Tidak_x000a_1: Ya" sqref="H950" xr:uid="{00000000-0002-0000-0100-000004010000}">
      <formula1>"0,1"</formula1>
    </dataValidation>
    <dataValidation type="decimal" allowBlank="1" showInputMessage="1" showErrorMessage="1" promptTitle="Total Produksi Panen dalam 1 Thn" prompt="Sebutkan (Ton Per Tahun)" sqref="H1056" xr:uid="{00000000-0002-0000-0100-000005010000}">
      <formula1>0</formula1>
      <formula2>IF(H1038="Tidak ada",0,25000)</formula2>
    </dataValidation>
    <dataValidation allowBlank="1" showInputMessage="1" showErrorMessage="1" promptTitle="Pengelola Wisata Taman" prompt="Sebutkan" sqref="H192" xr:uid="{00000000-0002-0000-0100-000006010000}"/>
    <dataValidation type="decimal" allowBlank="1" showInputMessage="1" showErrorMessage="1" promptTitle="Persentase Bagi Hasil" prompt=" " sqref="H1552 H1562 H1588" xr:uid="{00000000-0002-0000-0100-000007010000}">
      <formula1>0</formula1>
      <formula2>100</formula2>
    </dataValidation>
    <dataValidation type="decimal" allowBlank="1" showInputMessage="1" showErrorMessage="1" error="Tidak Terdapat Produk Unggulan,_x000a_Diisi 0 (Nol)" promptTitle="Luas Lahan Tanaman " prompt="(Dalam Satuan Luas Ha)_x000a_1 Km2 = 100 Ha" sqref="H1245" xr:uid="{00000000-0002-0000-0100-00000A010000}">
      <formula1>0</formula1>
      <formula2>IF(H1038="Tidak Ada",0,25000)</formula2>
    </dataValidation>
    <dataValidation type="whole" allowBlank="1" showInputMessage="1" showErrorMessage="1" sqref="H1768" xr:uid="{00000000-0002-0000-0100-00000B010000}">
      <formula1>0</formula1>
      <formula2>H1767</formula2>
    </dataValidation>
    <dataValidation type="list" showInputMessage="1" showErrorMessage="1" promptTitle="Terdapat Gotong Royong" prompt="Keterangan:_x000a_0 : Tidak Ada_x000a_1 : Ada" sqref="H732" xr:uid="{00000000-0002-0000-0100-00000C010000}">
      <formula1>"0,1"</formula1>
    </dataValidation>
    <dataValidation type="list" allowBlank="1" showInputMessage="1" showErrorMessage="1" promptTitle="Pendampingan Desa" prompt="0: Tidak Ada_x000a_1: Ada" sqref="H1513" xr:uid="{00000000-0002-0000-0100-00000D010000}">
      <formula1>"0,1"</formula1>
    </dataValidation>
    <dataValidation type="whole" operator="lessThanOrEqual" allowBlank="1" showInputMessage="1" showErrorMessage="1" errorTitle="PERHATIKAN JUMLAH PENDUDUK" error="CEK JUMLAH PENDUDUK DI DESA, Tidak dapat Melebihi Jumlah Penduduk._x000a_Tidak Terdapat Tambang Minyak Bumi_x000a_(Hanya diInput Angka)" promptTitle="Jlh Naker Tambang Minyak Bumi" prompt=" (Diisi Angka)" sqref="H268" xr:uid="{00000000-0002-0000-0100-00000E010000}">
      <formula1>IF(H266="tidak ada",0,$H$493)</formula1>
    </dataValidation>
    <dataValidation type="decimal" allowBlank="1" showInputMessage="1" showErrorMessage="1" promptTitle="Total Produksi Panen dalam 1 Thn" prompt="Sebutkan (Ton Per Tahun)" sqref="H1145" xr:uid="{00000000-0002-0000-0100-00000F010000}">
      <formula1>0</formula1>
      <formula2>IF(H1038="Tidak ada",0,25000)</formula2>
    </dataValidation>
    <dataValidation type="decimal" allowBlank="1" showInputMessage="1" showErrorMessage="1" error="Tidak Terdapat Produk Unggulan,_x000a_Diisi 0 (Nol)" promptTitle="Luas Lahan Tanaman " prompt="(Dalam Satuan Luas Ha)_x000a_1 Km2 = 100 Ha" sqref="H1058" xr:uid="{00000000-0002-0000-0100-000010010000}">
      <formula1>0</formula1>
      <formula2>IF(H1038="Tidak Ada",0,25000)</formula2>
    </dataValidation>
    <dataValidation allowBlank="1" showInputMessage="1" showErrorMessage="1" prompt="IDM 263" sqref="H1728" xr:uid="{00000000-0002-0000-0100-000011010000}"/>
    <dataValidation allowBlank="1" showInputMessage="1" showErrorMessage="1" prompt="IDM 106.b" sqref="H1712" xr:uid="{00000000-0002-0000-0100-000013010000}"/>
    <dataValidation type="whole" operator="greaterThanOrEqual" allowBlank="1" showInputMessage="1" showErrorMessage="1" promptTitle="Data Input dari Template" prompt="Otomatis dari file unggah template Sunting" sqref="H661" xr:uid="{00000000-0002-0000-0100-000014010000}">
      <formula1>0</formula1>
    </dataValidation>
    <dataValidation allowBlank="1" showInputMessage="1" showErrorMessage="1" promptTitle="PLD lain dari Luar" prompt="Sebutkan" sqref="H1515" xr:uid="{00000000-0002-0000-0100-000015010000}"/>
    <dataValidation type="list" allowBlank="1" showInputMessage="1" showErrorMessage="1" promptTitle="Terdapat Kantor Desa" prompt="0. Tidak Ada Kantor Desa_x000a_1. Ada, Diwilayah Desa_x000a_2. Ada, Diluar Wilayah Desa_x000a_" sqref="H29" xr:uid="{00000000-0002-0000-0100-000016010000}">
      <formula1>"0,1,2"</formula1>
    </dataValidation>
    <dataValidation type="list" allowBlank="1" showInputMessage="1" showErrorMessage="1" promptTitle="Terdapat Kaur TU &amp; Umum di Desa" prompt="Ada_x000a_Tidak Ada" sqref="H65" xr:uid="{00000000-0002-0000-0100-000017010000}">
      <formula1>"Ada, Tidak Ada"</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Buruh Pabrik" prompt="Jumlah Pekerja Buruh Pabrik Perempuan" sqref="H518" xr:uid="{00000000-0002-0000-0100-000018010000}">
      <formula1>($H$511+$H$512+$H$513+$H$514+$H$515+$H$516+$H$517+$H$518+$H$519+$H$520+$H$521+$H$522+$H$523+$H$524+$H$525+$H$526+$H$527+$H$528+$H$529+$H$530+$H$531+$H$532+$H$533+$H$534+$H$535)&lt;=$H$493</formula1>
    </dataValidation>
    <dataValidation type="list" allowBlank="1" showInputMessage="1" showErrorMessage="1" promptTitle="Jenis Jalan Provinsi" prompt="Ya_x000a_Tidak" sqref="H2125" xr:uid="{00000000-0002-0000-0100-000019010000}">
      <formula1>"Ya, Tidak"</formula1>
    </dataValidation>
    <dataValidation type="list" allowBlank="1" showInputMessage="1" showErrorMessage="1" promptTitle="Unggulan 2 Pangan Pasar Ekspor" prompt="-, (Lainnya), Padi, Jagung, Kedelai, Kacang Tanah, Kacang Hijau, Ubi Jalar, Ubi Kayu, Melinjo, Pete, Jengkol, Talas, Merica, Kentang, Wortel, Sorgum, Sagu, Gandum, Sukun" sqref="H1306" xr:uid="{00000000-0002-0000-0100-00001A010000}">
      <formula1>$K$959:$K$978</formula1>
    </dataValidation>
    <dataValidation type="list" showInputMessage="1" showErrorMessage="1" promptTitle="TV Luar Negeri" prompt="Siaran program televisi saluran luar negeri_x000a_0: Tidak_x000a_1: Ya" sqref="H943" xr:uid="{00000000-0002-0000-0100-00001B010000}">
      <formula1>"0,1"</formula1>
    </dataValidation>
    <dataValidation allowBlank="1" showInputMessage="1" showErrorMessage="1" promptTitle="Pihak Kelola Tambang Pasir" prompt="Sebutkan_x000a_" sqref="H359" xr:uid="{00000000-0002-0000-0100-00001C010000}"/>
    <dataValidation allowBlank="1" showInputMessage="1" showErrorMessage="1" promptTitle="% Rumah Tidak Layak Huni" prompt="1: &gt;80 - 100%_x000a_2: &gt;60 - 80%_x000a_3: &gt;40 - 60%_x000a_4: &gt;20 - 40% _x000a_5: 0-20% " sqref="H1926" xr:uid="{00000000-0002-0000-0100-00001D010000}"/>
    <dataValidation allowBlank="1" showInputMessage="1" showErrorMessage="1" promptTitle="Akses SMP/MTs/Sederajat" prompt="1: Sangat Sulit_x000a_2: Sulit_x000a_3: Sedang_x000a_4: Mudah_x000a_5: Sangat Mudah" sqref="H1765 H1777" xr:uid="{00000000-0002-0000-0100-00001E010000}"/>
    <dataValidation type="decimal" allowBlank="1" showInputMessage="1" showErrorMessage="1" promptTitle="Total Produksi Panen dalam 1 Thn" prompt="Sebutkan (Ton Per Tahun)" sqref="H1046" xr:uid="{00000000-0002-0000-0100-000020010000}">
      <formula1>0</formula1>
      <formula2>IF(H1038="Tidak ada",0,25000)</formula2>
    </dataValidation>
    <dataValidation type="whole" operator="greaterThanOrEqual" allowBlank="1" showInputMessage="1" showErrorMessage="1" promptTitle="Jarak Tower Terdekat" prompt="Input Menggunakan Angka" sqref="H955" xr:uid="{00000000-0002-0000-0100-000021010000}">
      <formula1>0</formula1>
    </dataValidation>
    <dataValidation type="custom" allowBlank="1" showInputMessage="1" showErrorMessage="1" error="Input Jumlah Penduduk dengan BENAR" promptTitle="Jumlah Penduduk Perempuan" prompt="Input Menggunakan Angka" sqref="H495" xr:uid="{00000000-0002-0000-0100-000022010000}">
      <formula1>(H494+H495)&lt;=120000</formula1>
    </dataValidation>
    <dataValidation type="list" allowBlank="1" showInputMessage="1" showErrorMessage="1" promptTitle="Terdapat Tambang Emas" prompt="Ada_x000a_Tidak Ada" sqref="H322" xr:uid="{00000000-0002-0000-0100-000023010000}">
      <formula1>"Ada, Tidak Ada"</formula1>
    </dataValidation>
    <dataValidation type="decimal" allowBlank="1" showInputMessage="1" showErrorMessage="1" promptTitle="Luas Lahan Tanaman Wortel" prompt="(Dalam Satuan Luas Ha)_x000a_1 Km2 = 100 Ha" sqref="H1013" xr:uid="{00000000-0002-0000-0100-000024010000}">
      <formula1>0</formula1>
      <formula2>IF(H1012="tidak ada",0,25000)</formula2>
    </dataValidation>
    <dataValidation type="list" allowBlank="1" showInputMessage="1" showErrorMessage="1" promptTitle="Terdapat Hutan Mangrove" prompt="Ada_x000a_Tidak Ada" sqref="H483" xr:uid="{00000000-0002-0000-0100-000025010000}">
      <formula1>"Ada, Tidak Ada"</formula1>
    </dataValidation>
    <dataValidation allowBlank="1" showInputMessage="1" showErrorMessage="1" promptTitle="Kemudahan Akses ke Toko" prompt="1: Sangat sulit_x000a_2: Sulit_x000a_3: Sedang_x000a_4: Mudah_x000a_5: Sangat Mudah" sqref="H2039" xr:uid="{00000000-0002-0000-0100-000026010000}"/>
    <dataValidation allowBlank="1" showInputMessage="1" showErrorMessage="1" promptTitle="Ket Perjalanan Desa ke Ktr Camat" prompt="Contoh:_x000a_Hanya melalui jalur darat dengan 1 kali kendaraan umum" sqref="H1700" xr:uid="{00000000-0002-0000-0100-000027010000}"/>
    <dataValidation type="decimal" allowBlank="1" showInputMessage="1" showErrorMessage="1" error="Tidak Terdapat Produk Unggulan,_x000a_Diisi 0 (Nol)" promptTitle="Luas Lahan Tanaman " prompt="(Dalam Satuan Luas Ha)_x000a_1 Km2 = 100 Ha" sqref="H1257" xr:uid="{00000000-0002-0000-0100-000028010000}">
      <formula1>0</formula1>
      <formula2>IF(H1038="Tidak Ada",0,25000)</formula2>
    </dataValidation>
    <dataValidation type="list" allowBlank="1" showInputMessage="1" showErrorMessage="1" promptTitle="Terdapat Wisata Kolam Pemandian " prompt="Ada_x000a_Tidak Ada" sqref="H182" xr:uid="{00000000-0002-0000-0100-000029010000}">
      <formula1>"Ada, Tidak Ada"</formula1>
    </dataValidation>
    <dataValidation type="list" allowBlank="1" showInputMessage="1" showErrorMessage="1" promptTitle="Perahu Layanan Bidan" prompt="Ada_x000a_Tidak Ada" sqref="H1858" xr:uid="{00000000-0002-0000-0100-00002A010000}">
      <formula1>IF($H$143=1,Tidak_Ada,Ada)</formula1>
    </dataValidation>
    <dataValidation type="decimal" operator="lessThanOrEqual" allowBlank="1" showInputMessage="1" showErrorMessage="1" error="Tidak Tedapat Tambang Nikel_x000a_Diisi 0 (NOL)" promptTitle="Luas Tambang Nikel" prompt="(Dalam Satuan Luas Ha)_x000a_1 Km2 = 100 Ha" sqref="H291" xr:uid="{00000000-0002-0000-0100-00002B010000}">
      <formula1>IF(H290="Tidak Ada",0,25000)</formula1>
    </dataValidation>
    <dataValidation type="whole" operator="lessThanOrEqual" allowBlank="1" showInputMessage="1" showErrorMessage="1" errorTitle="PERHATIKAN JUMLAH PENDUDUK" error="CEK JUMLAH PENDUDUK DI DESA, Tidak dapat Melebihi Jumlah Penduduk._x000a_Tidak Terdapat Tambang Tanah Uruk_x000a_(Hanya diInput Angka)" promptTitle="Jlh Naker Tambang Tanah Uruk" prompt=" (Diisi Angka)" sqref="H380" xr:uid="{00000000-0002-0000-0100-00002C010000}">
      <formula1>IF(H378="tidak ada",0,$H$493)</formula1>
    </dataValidation>
    <dataValidation type="list" showInputMessage="1" showErrorMessage="1" promptTitle="Ada Tidaknya Konflik di Desa" prompt="Keterangan:_x000a_0 : Tidak Ada_x000a_1 : Ada" sqref="H804" xr:uid="{00000000-0002-0000-0100-00002D010000}">
      <formula1>"0,1"</formula1>
    </dataValidation>
    <dataValidation type="list" allowBlank="1" showInputMessage="1" showErrorMessage="1" promptTitle="Desa Inklusif &amp; Sistem Akunt Sos" prompt="Ya_x000a_Tidak" sqref="H101" xr:uid="{00000000-0002-0000-0100-00002F010000}">
      <formula1>"Ya, Tidak"</formula1>
    </dataValidation>
    <dataValidation type="decimal" allowBlank="1" showInputMessage="1" showErrorMessage="1" promptTitle="Total Produksi Panen dalam 1 Thn" prompt="Sebutkan (Ton Per Tahun)" sqref="H1166" xr:uid="{00000000-0002-0000-0100-000030010000}">
      <formula1>0</formula1>
      <formula2>IF(H1038="Tidak ada",0,25000)</formula2>
    </dataValidation>
    <dataValidation type="whole" allowBlank="1" showInputMessage="1" showErrorMessage="1" errorTitle="CEK KONFLIK DI DESA 1 TAHUN" error="Batas isian Max 100 Kasus/tahun_x000a_Jika dalm 1 Tahun Terakhir TIDAK ADA konflik di Desa. Diisi angka 0 (NOL)" prompt="IDM S 376.h" sqref="H1969" xr:uid="{00000000-0002-0000-0100-000032010000}">
      <formula1>0</formula1>
      <formula2>IF($H$244="Ada",100,0)</formula2>
    </dataValidation>
    <dataValidation allowBlank="1" showInputMessage="1" showErrorMessage="1" promptTitle="Jenis Tambang Golongan C Lainnya" prompt="Sebutkan_x000a_" sqref="H385" xr:uid="{00000000-0002-0000-0100-000033010000}"/>
    <dataValidation type="list" allowBlank="1" showInputMessage="1" showErrorMessage="1" promptTitle="Desa Peduli Perlindungan Sosial" prompt="Ya_x000a_Tidak" sqref="H105" xr:uid="{00000000-0002-0000-0100-000034010000}">
      <formula1>"Ya, Tidak"</formula1>
    </dataValidation>
    <dataValidation type="list" allowBlank="1" showInputMessage="1" showErrorMessage="1" promptTitle="Terdapat Gudang Pribadi" prompt="Ada_x000a_Tidak Ada" sqref="H1372" xr:uid="{00000000-0002-0000-0100-000035010000}">
      <formula1>"Ada, Tidak Ada"</formula1>
    </dataValidation>
    <dataValidation type="decimal" allowBlank="1" showInputMessage="1" showErrorMessage="1" error="Tidak Terdapat Produk Unggulan,_x000a_Diisi 0 (Nol)" promptTitle="Luas Lahan Tanaman " prompt="(Dalam Satuan Luas Ha)_x000a_1 Km2 = 100 Ha" sqref="H1162" xr:uid="{00000000-0002-0000-0100-000036010000}">
      <formula1>0</formula1>
      <formula2>IF(H1038="Tidak Ada",0,25000)</formula2>
    </dataValidation>
    <dataValidation type="list" allowBlank="1" showInputMessage="1" showErrorMessage="1" promptTitle="Terdapat Wisata Alam Lainnya" prompt="Ada_x000a_Tidak Ada" sqref="H166" xr:uid="{00000000-0002-0000-0100-000037010000}">
      <formula1>"Ada, Tidak Ada"</formula1>
    </dataValidation>
    <dataValidation type="list" allowBlank="1" showInputMessage="1" showErrorMessage="1" promptTitle="Pihak Pendampingan Wisata Lainya" prompt="Tidak Ada_x000a_Pemerintah_x000a_BUMN_x000a_BUMD_x000a_Swasta (CSR)_x000a_Akademisi_x000a_Lainnya" sqref="H171" xr:uid="{00000000-0002-0000-0100-000038010000}">
      <formula1>IF(H166="tidak ada",Tidak_Ada,Pendamping_wisata)</formula1>
    </dataValidation>
    <dataValidation type="whole" operator="lessThanOrEqual" allowBlank="1" showInputMessage="1" showErrorMessage="1" promptTitle="Jlh SMP/MTs di Desa" prompt=" " sqref="H678" xr:uid="{00000000-0002-0000-0100-000039010000}">
      <formula1>20</formula1>
    </dataValidation>
    <dataValidation allowBlank="1" showInputMessage="1" showErrorMessage="1" promptTitle="Frekuensi Keg Olahraga Perbulan " prompt="1: Rata-rataTidak Terdapat kegiatan_x000a_2: Rata-rata Terdapat 1 kali kegiatan_x000a_3: Rata-rata Terdapat 2-3 kali kegiatan_x000a_4: Rata-rata Terdapat 4-5 kali kegiatan_x000a_5: Rata-rata Terdapat &gt;5 kali kegiatan" sqref="H1952" xr:uid="{00000000-0002-0000-0100-00003A010000}"/>
    <dataValidation type="list" allowBlank="1" showInputMessage="1" showErrorMessage="1" promptTitle="Motor layanan Dokter" prompt="Ada_x000a_Tidak Ada" sqref="H1839" xr:uid="{00000000-0002-0000-0100-00003B010000}">
      <formula1>IF($H$125=1,Tidak_Ada,Ada)</formula1>
    </dataValidation>
    <dataValidation allowBlank="1" showInputMessage="1" showErrorMessage="1" promptTitle="Nama Bendahara Bumdesa" prompt=" " sqref="H1456" xr:uid="{00000000-0002-0000-0100-00003C010000}"/>
    <dataValidation type="decimal" allowBlank="1" showInputMessage="1" showErrorMessage="1" promptTitle="Persentase Bagi Hasil Pihak Ke 3" prompt=" _x000a_" sqref="H1580" xr:uid="{00000000-0002-0000-0100-00003D010000}">
      <formula1>0</formula1>
      <formula2>100</formula2>
    </dataValidation>
    <dataValidation allowBlank="1" showInputMessage="1" showErrorMessage="1" promptTitle="Pihak Kelola Tambang Tanah Uruk" prompt="Sebutkan_x000a_" sqref="H383" xr:uid="{00000000-0002-0000-0100-00003E010000}"/>
    <dataValidation type="whole" operator="lessThanOrEqual" allowBlank="1" showInputMessage="1" showErrorMessage="1" promptTitle="Jlh KK Manfaatkn Energi Biomasa" prompt=" " sqref="H920" xr:uid="{00000000-0002-0000-0100-00003F010000}">
      <formula1>$H$499</formula1>
    </dataValidation>
    <dataValidation type="whole" allowBlank="1" showInputMessage="1" showErrorMessage="1" promptTitle="Jarak menuju Posyandu di Desa" prompt="(Diisi Angka)" sqref="H1820" xr:uid="{00000000-0002-0000-0100-000040010000}">
      <formula1>0</formula1>
      <formula2>5000</formula2>
    </dataValidation>
    <dataValidation type="list" showInputMessage="1" showErrorMessage="1" promptTitle="Pembiayaan Posyandu" prompt="1: Iuran Bulanan Masyarakat_x000a_2: APBDes_x000a_3: Iuran Bulanan Masyarakat dan APBDes_x000a_4: Lainnya_x000a_Tidak Ada" sqref="H604" xr:uid="{00000000-0002-0000-0100-000041010000}">
      <formula1>IF($H$603="1",Jalan_rusak,Tidak_Ada)</formula1>
    </dataValidation>
    <dataValidation type="whole" allowBlank="1" showInputMessage="1" showErrorMessage="1" promptTitle="Waktu menuju Posyandu di desa" prompt="(Diisi Angka)" sqref="H1821" xr:uid="{00000000-0002-0000-0100-000042010000}">
      <formula1>0</formula1>
      <formula2>180</formula2>
    </dataValidation>
    <dataValidation type="whole" allowBlank="1" showInputMessage="1" showErrorMessage="1" promptTitle="Frek Kejadian Bencana" prompt="Banjir_x000a_(Kali/Tahun)" sqref="H1488" xr:uid="{00000000-0002-0000-0100-000043010000}">
      <formula1>0</formula1>
      <formula2>24</formula2>
    </dataValidation>
    <dataValidation type="list" showInputMessage="1" showErrorMessage="1" promptTitle="Perlengkapan Keselamatan" prompt=" Terdapat fasilitas mitigasi bencana alam di Desa berupa perlengkapan keselamatan_x000a_0: Tidak Ada_x000a_1: Ada" sqref="H1500" xr:uid="{00000000-0002-0000-0100-000044010000}">
      <formula1>"0,1"</formula1>
    </dataValidation>
    <dataValidation type="whole" operator="greaterThanOrEqual" allowBlank="1" showInputMessage="1" showErrorMessage="1" promptTitle="Bantuan Provinsi Tahun 2024" prompt=" " sqref="H1602" xr:uid="{00000000-0002-0000-0100-000045010000}">
      <formula1>0</formula1>
    </dataValidation>
    <dataValidation type="whole" allowBlank="1" showInputMessage="1" showErrorMessage="1" error="Tidak melebihi jlh usia 7-12 tahun" promptTitle="Jlh Usia SD Putus/Tidak Sekolah" prompt=" " sqref="H703" xr:uid="{00000000-0002-0000-0100-000046010000}">
      <formula1>0</formula1>
      <formula2>IF(H702=0,0,H505)</formula2>
    </dataValidation>
    <dataValidation allowBlank="1" showInputMessage="1" showErrorMessage="1" promptTitle="Jabatan Kepala Desa" prompt="Penjabat_x000a_Definitif_x000a_(IDM 112.b)" sqref="H2192" xr:uid="{00000000-0002-0000-0100-000047010000}"/>
    <dataValidation type="whole" allowBlank="1" showInputMessage="1" showErrorMessage="1" error="Tidak Terdapat Konflik di Desa" promptTitle="Jlh Kejadian Konfik" prompt="Antar Kelompok Masyarakat_x000a_(Kasus)" sqref="H805" xr:uid="{00000000-0002-0000-0100-000048010000}">
      <formula1>0</formula1>
      <formula2>IF(H804=0,0,50)</formula2>
    </dataValidation>
    <dataValidation allowBlank="1" showInputMessage="1" showErrorMessage="1" promptTitle="Terdapat Bumdes/Bumdes Bersama" prompt="1: Tidak ada_x000a_5: Ada_x000a_(IDM E 538.a)" sqref="H2059" xr:uid="{00000000-0002-0000-0100-000049010000}"/>
    <dataValidation type="list" showInputMessage="1" showErrorMessage="1" promptTitle="Bahan Bakar Memasak" prompt="1: Gas Kota_x000a_2: Biogas_x000a_3: LPG 3 Kg_x000a_4: LPG &gt;3 Kg_x000a_5: Batu Bara_x000a_6: Kriket_x000a_7: Minyak Tanah_x000a_8: Kayu Bakar_x000a_9: Lainnya " sqref="H1364" xr:uid="{00000000-0002-0000-0100-00004A010000}">
      <formula1>"0,1,2,3,4,5,6,7,8,9"</formula1>
    </dataValidation>
    <dataValidation type="decimal" allowBlank="1" showInputMessage="1" showErrorMessage="1" error="Tidak Terdapat Produk Unggulan,_x000a_Diisi 0 (Nol)" promptTitle="Total Produksi Panen dalam 1 Thn" prompt="Sebutkan (Ton Per Tahun)" sqref="H1325" xr:uid="{00000000-0002-0000-0100-00004B010000}">
      <formula1>0</formula1>
      <formula2>IF(LEN(H1274)&lt;3,0,25000)</formula2>
    </dataValidation>
    <dataValidation type="decimal" operator="lessThanOrEqual" allowBlank="1" showInputMessage="1" showErrorMessage="1" promptTitle="Total Produksi Panen dalam 1 Thn" prompt="Sebutkan (Ton Per Tahun)" sqref="H963" xr:uid="{00000000-0002-0000-0100-00004C010000}">
      <formula1>IF(H960="tidak ada",0,25000)</formula1>
    </dataValidation>
    <dataValidation type="decimal" allowBlank="1" showInputMessage="1" showErrorMessage="1" promptTitle="Total Produksi Panen dalam 1 Thn" prompt="Sebutkan (Ton Per Tahun)" sqref="H1252" xr:uid="{00000000-0002-0000-0100-00004D010000}">
      <formula1>0</formula1>
      <formula2>IF(H1038="Tidak ada",0,25000)</formula2>
    </dataValidation>
    <dataValidation type="list" allowBlank="1" showInputMessage="1" showErrorMessage="1" promptTitle="Dampak Pendampingan Pihak Luar" prompt="0: Tidak Ada Pendampingan_x000a_1: Berdampak Baik_x000a_2: Tidak Berdampak" sqref="H1525" xr:uid="{00000000-0002-0000-0100-000050010000}">
      <formula1>"0,1,2"</formula1>
    </dataValidation>
    <dataValidation type="list" operator="lessThanOrEqual" allowBlank="1" showInputMessage="1" showErrorMessage="1" promptTitle="Tujuan Pasar Hasil Panen " prompt="Domestik (Dalam Negeri)_x000a_Ekspor (Luar Negeri)_x000a__x000a_" sqref="H432" xr:uid="{00000000-0002-0000-0100-000051010000}">
      <formula1>IF(H398="Tidak ada",Tidak_Ada,Pasar)</formula1>
    </dataValidation>
    <dataValidation type="decimal" allowBlank="1" showInputMessage="1" showErrorMessage="1" promptTitle="Luas Lahan Tanaman Kacang Tanah" prompt="(Dalam Satuan Luas Ha)_x000a_1 Km2 = 100 Ha" sqref="H973" xr:uid="{00000000-0002-0000-0100-000052010000}">
      <formula1>0</formula1>
      <formula2>IF(H972="tidak ada",0,25000)</formula2>
    </dataValidation>
    <dataValidation type="whole" operator="lessThanOrEqual" allowBlank="1" showInputMessage="1" showErrorMessage="1" error="Tidak Terdapat Wisata Pegunungan,_x000a_Diisi 0 (Nol)" promptTitle="Jlh Naker Desa Wisata Pegunungan" prompt="Isi dengan Angka" sqref="H130" xr:uid="{00000000-0002-0000-0100-000053010000}">
      <formula1>IF(H124="tidak ada",0,10000)</formula1>
    </dataValidation>
    <dataValidation type="whole" operator="lessThanOrEqual" allowBlank="1" showInputMessage="1" showErrorMessage="1" errorTitle="PERHATIKAN JUMLAH PENDUDUK" error="CEK JUMLAH PENDUDUK DI DESA, Tidak dapat Melebihi Jumlah Penduduk._x000a_Tidak Terdapat Tambang Belerang_x000a_(Hanya diInput Angka)" promptTitle="Jlh Naker Tambang Belerang" prompt=" (Diisi Angka)" sqref="H318" xr:uid="{00000000-0002-0000-0100-000054010000}">
      <formula1>IF(H316="tidak ada",0,$H$493)</formula1>
    </dataValidation>
    <dataValidation type="decimal" allowBlank="1" showInputMessage="1" showErrorMessage="1" promptTitle="Total Produksi Panen dalam 1 Thn" prompt="Sebutkan (Ton Per Tahun)" sqref="H1249" xr:uid="{00000000-0002-0000-0100-000055010000}">
      <formula1>0</formula1>
      <formula2>IF(H1038="Tidak ada",0,25000)</formula2>
    </dataValidation>
    <dataValidation type="list" showInputMessage="1" showErrorMessage="1" promptTitle="Tersedia Tempat Praktek Bidan" prompt="0: Tidak Ada_x000a_1: Ada_x000a__x000a_" sqref="H578" xr:uid="{00000000-0002-0000-0100-000056010000}">
      <formula1>"0,1"</formula1>
    </dataValidation>
    <dataValidation type="whole" allowBlank="1" showInputMessage="1" showErrorMessage="1" promptTitle="Waktu Tempuh (Menit) ke Toko" prompt="(Diisi Angka)" sqref="H2036" xr:uid="{00000000-0002-0000-0100-000057010000}">
      <formula1>0</formula1>
      <formula2>180</formula2>
    </dataValidation>
    <dataValidation type="whole" operator="lessThanOrEqual" allowBlank="1" showInputMessage="1" showErrorMessage="1" error="Tidak Terdapat Perkebunan Tebu. Diisi 0 (NOL)_x000a_Tidak Melebihi Jumlah Penduduk di Desa" promptTitle="Jlh Petani Perkebunan Tebu" prompt=" _x000a_" sqref="H458" xr:uid="{00000000-0002-0000-0100-000058010000}">
      <formula1>IF(H452="Tidak ada",0,$H$493)</formula1>
    </dataValidation>
    <dataValidation type="list" allowBlank="1" showInputMessage="1" showErrorMessage="1" promptTitle="Peraturan Desa Kewenangan Desa" prompt="Sudah_x000a_Belum" sqref="H2188" xr:uid="{00000000-0002-0000-0100-000059010000}">
      <formula1>"Sudah, Belum"</formula1>
    </dataValidation>
    <dataValidation type="list" allowBlank="1" showInputMessage="1" showErrorMessage="1" promptTitle="Status Kelola Perkebunan Karet " prompt="Tidak Ada_x000a_Pemerintah_x000a_BUMN_x000a_BUMD_x000a_Swasta_x000a_Perorangan" sqref="H400" xr:uid="{00000000-0002-0000-0100-00005A010000}">
      <formula1>IF(H398="Tidak ada",Tidak_Ada,kebun)</formula1>
    </dataValidation>
    <dataValidation type="whole" operator="greaterThanOrEqual" allowBlank="1" showInputMessage="1" showErrorMessage="1" promptTitle="Biaya Perjalanan Desa ke Camat" prompt="Biaya yang dikeluarkan untuk Transportasi Dari kantor Desa Ke Kantor Kecamatan" sqref="H1699" xr:uid="{00000000-0002-0000-0100-00005B010000}">
      <formula1>0</formula1>
    </dataValidation>
    <dataValidation type="list" showInputMessage="1" showErrorMessage="1" promptTitle="Tdpt Insiatif Warga Siskamling" prompt="Keterangan:_x000a_0 : Tidak Ada_x000a_1 : Ada" sqref="H803" xr:uid="{00000000-0002-0000-0100-00005C010000}">
      <formula1>"0,1"</formula1>
    </dataValidation>
    <dataValidation type="list" allowBlank="1" showInputMessage="1" showErrorMessage="1" promptTitle="Terdapat Perkebunan Kina" prompt="Ada_x000a_Tidak Ada" sqref="H443" xr:uid="{00000000-0002-0000-0100-00005D010000}">
      <formula1>"Ada, Tidak Ada"</formula1>
    </dataValidation>
    <dataValidation allowBlank="1" showInputMessage="1" showErrorMessage="1" promptTitle="Pihak Kelola Tambang Batu Kapur" prompt="Sebutkan_x000a_" sqref="H347" xr:uid="{00000000-0002-0000-0100-00005E010000}"/>
    <dataValidation type="textLength" operator="lessThanOrEqual" allowBlank="1" showInputMessage="1" showErrorMessage="1" promptTitle="Tanggal Perjanjian Kerjasama" prompt="Contoh_x000a_(31 Januari 2017)" sqref="H1578" xr:uid="{00000000-0002-0000-0100-000060010000}">
      <formula1>18</formula1>
    </dataValidation>
    <dataValidation allowBlank="1" showInputMessage="1" showErrorMessage="1" promptTitle="Sumber Listrik Energi Matahari" prompt="Ada_x000a_Tidak Ada_x000a_(IDM S 399.a)" sqref="H1906" xr:uid="{00000000-0002-0000-0100-000061010000}"/>
    <dataValidation type="list" showInputMessage="1" showErrorMessage="1" promptTitle="Tdapat P.Klinik/Balai Pengobatan" prompt="0: Tidak Ada_x000a_1: Ada_x000a__x000a_" sqref="H570" xr:uid="{00000000-0002-0000-0100-000062010000}">
      <formula1>"0,1"</formula1>
    </dataValidation>
    <dataValidation type="list" showInputMessage="1" showErrorMessage="1" promptTitle="Mayoritas Agama?" prompt="Islam_x000a_Kristen_x000a_Katolik_x000a_Budha_x000a_Hindu_x000a_Konghucu_x000a_Lainnya" sqref="H792" xr:uid="{00000000-0002-0000-0100-000064010000}">
      <formula1>$J$778:$J$784</formula1>
    </dataValidation>
    <dataValidation type="whole" operator="lessThanOrEqual" allowBlank="1" showInputMessage="1" showErrorMessage="1" promptTitle="Jlh Tunanetra &lt;20thn Sekolah" prompt=" " sqref="H692" xr:uid="{00000000-0002-0000-0100-000065010000}">
      <formula1>250</formula1>
    </dataValidation>
    <dataValidation type="list" allowBlank="1" showInputMessage="1" showErrorMessage="1" promptTitle="Sumber Pangan diKonsumsi" prompt="-, Padi, Jagung, Kedelai, Kacang Tanah, Kacang Hijau, Ubi Jalar, Ubi Kayu, Melinjo, Pete, Jengkol, Talas, Merica, Kentang, Wortel, Sorgum, Sagu, Gandum, Sukun, Lainnya" sqref="H1508" xr:uid="{00000000-0002-0000-0100-000067010000}">
      <formula1>$K$959:$K$978</formula1>
    </dataValidation>
    <dataValidation type="decimal" allowBlank="1" showInputMessage="1" showErrorMessage="1" error="Tidak Terdapat Produk Unggulan,_x000a_Diisi 0 (Nol)" promptTitle="Luas Lahan Tanaman " prompt="(Dalam Satuan Luas Ha)_x000a_1 Km2 = 100 Ha" sqref="H1233" xr:uid="{00000000-0002-0000-0100-000069010000}">
      <formula1>0</formula1>
      <formula2>IF(H1038="Tidak Ada",0,25000)</formula2>
    </dataValidation>
    <dataValidation type="custom" operator="greaterThanOrEqual" allowBlank="1" showInputMessage="1" showErrorMessage="1" errorTitle="JLH PENDUDUK pd BIDANG PEKERJAAN" error="Total pendudukn Berdasarkan PEKERJAAN Harus LEBIH KECIL dari TOTAL PENDUDUK di Desa" promptTitle="Jumlah Pekerjaan Lainnya" prompt="Jumlah Pekerja Lainnya Perempuan" sqref="H535" xr:uid="{00000000-0002-0000-0100-00006A010000}">
      <formula1>($H$511+$H$512+$H$513+$H$514+$H$515+$H$516+$H$517+$H$518+$H$519+$H$520+$H$521+$H$522+$H$523+$H$524+$H$525+$H$526+$H$527+$H$528+$H$529+$H$530+$H$531+$H$532+$H$533+$H$534+$H$535)&lt;=$H$493</formula1>
    </dataValidation>
    <dataValidation type="list" allowBlank="1" showInputMessage="1" showErrorMessage="1" promptTitle="Angkutan Umum" prompt="Angkutan umum utama di Desa beroperasi setiap hari_x000a_0: Tidak_x000a_1: Ya" sqref="H1467" xr:uid="{00000000-0002-0000-0100-00006B010000}">
      <formula1>IF($H$1463=3,Tidak_tersedia,Tersedia)</formula1>
    </dataValidation>
    <dataValidation type="list" showInputMessage="1" showErrorMessage="1" promptTitle="Sumber air Mata Air" prompt="Ya_x000a_Tidak Ada" sqref="H1475" xr:uid="{00000000-0002-0000-0100-00006C010000}">
      <formula1>IF($H$1474=3, Tidak_Ada,Ya)</formula1>
    </dataValidation>
    <dataValidation type="list" allowBlank="1" showInputMessage="1" showErrorMessage="1" promptTitle="Jenis Wilayah Desa" prompt="1. Dataran Rendah_x000a_2. Dataran Tinggi/ Pegunungan_x000a_3. Kepulauan_x000a_4. Pesisir_x000a_5. Rawa" sqref="H96" xr:uid="{00000000-0002-0000-0100-00006D010000}">
      <formula1>"1, 2, 3,4,5"</formula1>
    </dataValidation>
    <dataValidation type="list" allowBlank="1" showInputMessage="1" showErrorMessage="1" promptTitle="Terdapat Kejahatan Narkoba" prompt="Keterangan:_x000a_0 : Tidak Ada_x000a_1 : Ada" sqref="H834" xr:uid="{00000000-0002-0000-0100-00006E010000}">
      <formula1>"0,1"</formula1>
    </dataValidation>
    <dataValidation type="decimal" operator="lessThanOrEqual" allowBlank="1" showInputMessage="1" showErrorMessage="1" promptTitle="Jarak Pustu Terdekat" prompt="(Meter)" sqref="H563" xr:uid="{00000000-0002-0000-0100-00006F010000}">
      <formula1>300000</formula1>
    </dataValidation>
    <dataValidation type="list" operator="lessThanOrEqual" allowBlank="1" showInputMessage="1" showErrorMessage="1" promptTitle="Tujuan Pasar Hasil Panen " prompt="Domestik (Dalam Negeri)_x000a_Ekspor (Luar Negeri)_x000a__x000a_" sqref="H414" xr:uid="{00000000-0002-0000-0100-000070010000}">
      <formula1>IF(H398="Tidak ada",Tidak_Ada,Pasar)</formula1>
    </dataValidation>
    <dataValidation type="whole" operator="lessThanOrEqual" allowBlank="1" showInputMessage="1" showErrorMessage="1" promptTitle="Jlh Pengajar SMP/MTs" prompt=" " sqref="H679" xr:uid="{00000000-0002-0000-0100-000071010000}">
      <formula1>500</formula1>
    </dataValidation>
    <dataValidation type="whole" operator="lessThanOrEqual" allowBlank="1" showInputMessage="1" showErrorMessage="1" promptTitle="Total Anggota Bumdes" prompt=" " sqref="H1457" xr:uid="{00000000-0002-0000-0100-000072010000}">
      <formula1>100</formula1>
    </dataValidation>
    <dataValidation type="list" allowBlank="1" showInputMessage="1" showErrorMessage="1" promptTitle="Desa Peduli Kesehatan" prompt="Ya_x000a_Tidak" sqref="H103" xr:uid="{00000000-0002-0000-0100-000073010000}">
      <formula1>"Ya, Tidak"</formula1>
    </dataValidation>
    <dataValidation allowBlank="1" showInputMessage="1" showErrorMessage="1" promptTitle="Pengelola Wisata Budaya" prompt="Sebutkan" sqref="H208" xr:uid="{00000000-0002-0000-0100-000074010000}"/>
    <dataValidation type="list" allowBlank="1" showInputMessage="1" showErrorMessage="1" promptTitle="Terdapat Produk Unggulan Sagu" prompt="Ada_x000a_Tidak Ada" sqref="H1020" xr:uid="{00000000-0002-0000-0100-000075010000}">
      <formula1>"Ada, Tidak Ada"</formula1>
    </dataValidation>
    <dataValidation type="list" showInputMessage="1" showErrorMessage="1" promptTitle="KKP-E" prompt="Terdapat fasilitas kredit berupa  Kredit Ketahanan Pangan dan Energi_x000a_0: Tidak Ada_x000a_1: Ada" sqref="H1391" xr:uid="{00000000-0002-0000-0100-000076010000}">
      <formula1>"0,1"</formula1>
    </dataValidation>
    <dataValidation type="list" allowBlank="1" showInputMessage="1" showErrorMessage="1" promptTitle="Transportasi ke Layanan Bidan" prompt="1:  Yayasan/ Swasta/ Masyarakat_x000a_5:  Pemerintah" sqref="H1852" xr:uid="{00000000-0002-0000-0100-000077010000}">
      <formula1>"1,5"</formula1>
    </dataValidation>
    <dataValidation type="list" operator="lessThanOrEqual" showInputMessage="1" showErrorMessage="1" promptTitle="Terdapat Gereja Kristen" prompt="Keterangan:_x000a_0 : Tidak Ada_x000a_1 : Ada" sqref="H787" xr:uid="{00000000-0002-0000-0100-000078010000}">
      <formula1>"0,1"</formula1>
    </dataValidation>
    <dataValidation type="list" allowBlank="1" showInputMessage="1" showErrorMessage="1" promptTitle="Terdapat Wisata Danau" prompt="Ada_x000a_Tidak Ada" sqref="H131" xr:uid="{00000000-0002-0000-0100-000079010000}">
      <formula1>"Ada, Tidak Ada"</formula1>
    </dataValidation>
    <dataValidation type="whole" operator="greaterThanOrEqual" allowBlank="1" showInputMessage="1" showErrorMessage="1" promptTitle="Terhitung Secara Otomatis" prompt=" " sqref="H1341" xr:uid="{00000000-0002-0000-0100-00007A010000}">
      <formula1>0</formula1>
    </dataValidation>
    <dataValidation type="list" showInputMessage="1" showErrorMessage="1" promptTitle="Terdapat Panti Asuhan?" prompt="Keterangan:_x000a_0 : Tidak Ada_x000a_1 : Ada" sqref="H742" xr:uid="{00000000-0002-0000-0100-00007B010000}">
      <formula1>"0,1"</formula1>
    </dataValidation>
    <dataValidation allowBlank="1" showInputMessage="1" showErrorMessage="1" promptTitle="Judul Perjanjian Kerjasama" prompt=" " sqref="H1577" xr:uid="{00000000-0002-0000-0100-00007D010000}"/>
    <dataValidation type="custom" operator="greaterThanOrEqual" allowBlank="1" showInputMessage="1" showErrorMessage="1" promptTitle="Jlh KK BAB Jamban Bersama" prompt="Input dengan angka" sqref="H907" xr:uid="{00000000-0002-0000-0100-00007E010000}">
      <formula1>($H$906+$H$907+$H$908+$H$909)&lt;=$H$499</formula1>
    </dataValidation>
    <dataValidation allowBlank="1" showInputMessage="1" showErrorMessage="1" promptTitle="Tersedia Akses Telepon di Desa" prompt="1: Tidak ada akses sinyal_x000a_3: Ya, tapi sinyal lemah _x000a_5: Ya, sinyal kuat_x000a__x000a_(IDM S 401)" sqref="H1915" xr:uid="{00000000-0002-0000-0100-00007F010000}"/>
    <dataValidation type="list" showInputMessage="1" showErrorMessage="1" promptTitle="Keaktifan BKAD" prompt="0: Tidak Aktif_x000a_1: Aktif" sqref="H1583 H1557" xr:uid="{00000000-0002-0000-0100-000080010000}">
      <formula1>"0,1"</formula1>
    </dataValidation>
    <dataValidation type="whole" operator="lessThanOrEqual" allowBlank="1" showInputMessage="1" showErrorMessage="1" promptTitle="Jlh Tunagrahita" prompt=" " sqref="H843:H844" xr:uid="{00000000-0002-0000-0100-000081010000}">
      <formula1>50</formula1>
    </dataValidation>
    <dataValidation allowBlank="1" showInputMessage="1" showErrorMessage="1" promptTitle="Sumber Listrik Energi Angin" prompt="Ada_x000a_Tidak Ada_x000a_(IDM S 399.b)" sqref="H1907" xr:uid="{00000000-0002-0000-0100-000082010000}"/>
    <dataValidation type="list" allowBlank="1" showInputMessage="1" showErrorMessage="1" promptTitle="Pengelola Wisata Buatan Lainnya" prompt="Tidak Ada_x000a_Pemerintah_x000a_Swasta_x000a_BUMN_x000a_BUMD_x000a_BUM Des_x000a_BUM Des Bersama_x000a_Kelompok_x000a_Pribadi_x000a_Lainnya" sqref="H199" xr:uid="{00000000-0002-0000-0100-000083010000}">
      <formula1>IF(H196="Tidak Ada",Tidak_Ada,Pengelola_wisata)</formula1>
    </dataValidation>
    <dataValidation type="list" allowBlank="1" showInputMessage="1" showErrorMessage="1" promptTitle="Pihak Dampingan Wisata Taman" prompt="Tidak Ada_x000a_Pemerintah_x000a_BUMN_x000a_BUMD_x000a_Swasta (CSR)_x000a_Akademisi_x000a_Lainnya" sqref="H193" xr:uid="{00000000-0002-0000-0100-000084010000}">
      <formula1>IF(H189="tidak ada",Tidak_Ada,Pendamping_wisata)</formula1>
    </dataValidation>
    <dataValidation type="whole" operator="lessThanOrEqual" allowBlank="1" showInputMessage="1" showErrorMessage="1" promptTitle="Jlh Tunanetra &lt;20thn tdk sklh" prompt=" " sqref="H693" xr:uid="{00000000-0002-0000-0100-000085010000}">
      <formula1>250</formula1>
    </dataValidation>
    <dataValidation type="list" showInputMessage="1" showErrorMessage="1" promptTitle="Air Minum dari Meteran PAM/PDAM" prompt="Keterangan:_x000a_0 : Tidak_x000a_1 : Ya" sqref="H885" xr:uid="{00000000-0002-0000-0100-000086010000}">
      <formula1>"0,1"</formula1>
    </dataValidation>
    <dataValidation allowBlank="1" showInputMessage="1" showErrorMessage="1" promptTitle="Bumdesa Perdagangan Bid P'kebunn" prompt="(SEBUTKAN)" sqref="H1418" xr:uid="{00000000-0002-0000-0100-000088010000}"/>
    <dataValidation type="list" allowBlank="1" showInputMessage="1" showErrorMessage="1" promptTitle="Buku Keputusan Kades" prompt="Diisi_x000a_Tidak Diisi" sqref="H2153" xr:uid="{00000000-0002-0000-0100-000089010000}">
      <formula1>IF($H$2150="Belum",Tidak_Diisi,Diisi)</formula1>
    </dataValidation>
    <dataValidation allowBlank="1" showInputMessage="1" showErrorMessage="1" promptTitle="Terdapat Pencemaran Tanah" prompt="1: Ada_x000a_0: Tidak_x000a_(IDM L 503.b)" sqref="H2094" xr:uid="{00000000-0002-0000-0100-00008A010000}"/>
    <dataValidation type="list" allowBlank="1" showInputMessage="1" showErrorMessage="1" promptTitle="Air Minum dr Sungai/Danau/Kolam/" prompt="Ada_x000a_Tidak Ada_x000a_(IDM S 390.g)" sqref="H1891" xr:uid="{00000000-0002-0000-0100-00008B010000}">
      <formula1>"Ada, Tidak Ada"</formula1>
    </dataValidation>
    <dataValidation allowBlank="1" showInputMessage="1" showErrorMessage="1" promptTitle="Aktivitas Wisata Sejarah &amp; Relig" prompt="Contoh:_x000a_Ziarah, Acara Keagamaan, Tempat Ibadah/ Candi, Retreat, Museum, Penelitian" sqref="H213" xr:uid="{00000000-0002-0000-0100-00008C010000}"/>
    <dataValidation type="whole" operator="lessThanOrEqual" allowBlank="1" showInputMessage="1" showErrorMessage="1" promptTitle="Jlh Pasar Semi Permanen" prompt="(Unit)" sqref="H1354" xr:uid="{00000000-0002-0000-0100-00008D010000}">
      <formula1>5</formula1>
    </dataValidation>
    <dataValidation type="list" allowBlank="1" showInputMessage="1" showErrorMessage="1" promptTitle="Terdapat Kearifan Budaya/Sosial" prompt="1: Tidak Ada_x000a_5: Ada" sqref="H1930" xr:uid="{00000000-0002-0000-0100-00008E010000}">
      <formula1>"1,5"</formula1>
    </dataValidation>
    <dataValidation type="whole" operator="lessThanOrEqual" allowBlank="1" showInputMessage="1" showErrorMessage="1" error="Tidak Terdapat Perkebunan Karet. Diisi 0 (NOL)_x000a_Tidak Melebihi Jumlah Penduduk di Desa" promptTitle="Jlh Petani Perkebunan Karet" prompt=" _x000a_" sqref="H403" xr:uid="{00000000-0002-0000-0100-00008F010000}">
      <formula1>IF(H398="Tidak ada",0,$H$493)</formula1>
    </dataValidation>
    <dataValidation type="whole" allowBlank="1" showInputMessage="1" showErrorMessage="1" error="Tidak Terdapat Konflik di desa" promptTitle="Jlh Kejadian Konfik" prompt="Kelompok Masyarakat Antar Desa_x000a_(Kasus)" sqref="H806" xr:uid="{00000000-0002-0000-0100-000090010000}">
      <formula1>0</formula1>
      <formula2>IF(H804=0,0,50)</formula2>
    </dataValidation>
    <dataValidation type="list" showInputMessage="1" showErrorMessage="1" promptTitle="Tdapat Bumdesa Bid Listrik" prompt="Terdapat Bumdesa Bisinis Sosial Bidang Listrik_x000a_0: Tidak Ada_x000a_1: Ada" sqref="H1406" xr:uid="{00000000-0002-0000-0100-000092010000}">
      <formula1>IF($H$1404=0,Tidak_tersedia,Tersedia)</formula1>
    </dataValidation>
    <dataValidation type="list" allowBlank="1" showInputMessage="1" showErrorMessage="1" promptTitle="Pihak Pengelola Wisata Pegununga" prompt="Tidak Ada_x000a_Pemerintah_x000a_Swasta_x000a_BUMN_x000a_BUMD_x000a_BUM Des_x000a_BUM Des Bersama_x000a_Kelompok_x000a_Pribadi_x000a_Lainnya" sqref="H126" xr:uid="{00000000-0002-0000-0100-000093010000}">
      <formula1>IF(H124="Tidak Ada",Tidak_Ada,Pengelola_wisata)</formula1>
    </dataValidation>
    <dataValidation allowBlank="1" showInputMessage="1" showErrorMessage="1" promptTitle="Bukti Absensi Musdes" prompt=" Terisi secara Otomatis" sqref="H764" xr:uid="{00000000-0002-0000-0100-000094010000}"/>
    <dataValidation type="list" showInputMessage="1" showErrorMessage="1" promptTitle="Hotel/Penginapan" prompt="Terdapat hotel atau penginapan di Desa_x000a_0 : Tidak Ada_x000a_1 : Ada" sqref="H1359" xr:uid="{00000000-0002-0000-0100-000095010000}">
      <formula1>"0,1"</formula1>
    </dataValidation>
    <dataValidation type="decimal" allowBlank="1" showInputMessage="1" showErrorMessage="1" error="Tidak Terdapat Produk Unggulan,_x000a_Diisi 0 (Nol)" promptTitle="Luas Lahan Tanaman " prompt="(Dalam Satuan Luas Ha)_x000a_1 Km2 = 100 Ha" sqref="H1067" xr:uid="{00000000-0002-0000-0100-000096010000}">
      <formula1>0</formula1>
      <formula2>IF(H1038="Tidak Ada",0,25000)</formula2>
    </dataValidation>
    <dataValidation type="decimal" allowBlank="1" showInputMessage="1" showErrorMessage="1" promptTitle="Luas Lahan Tanaman Sagu" prompt="(Dalam Satuan Luas Ha)_x000a_1 Km2 = 100 Ha" sqref="H1021" xr:uid="{00000000-0002-0000-0100-000097010000}">
      <formula1>0</formula1>
      <formula2>IF(H1020="tidak ada",0,25000)</formula2>
    </dataValidation>
    <dataValidation type="list" allowBlank="1" showInputMessage="1" showErrorMessage="1" promptTitle="Terdapat Tambang Bauksit" prompt="Ada_x000a_Tidak Ada" sqref="H304" xr:uid="{00000000-0002-0000-0100-000098010000}">
      <formula1>"Ada, Tidak Ada"</formula1>
    </dataValidation>
    <dataValidation type="list" allowBlank="1" showInputMessage="1" showErrorMessage="1" promptTitle="Terdapat Kepala Kewilayahan" prompt="Ada_x000a_Tidak Ada" sqref="H2196" xr:uid="{00000000-0002-0000-0100-000099010000}">
      <formula1>"Ada, Tidak Ada"</formula1>
    </dataValidation>
    <dataValidation type="list" allowBlank="1" showInputMessage="1" showErrorMessage="1" promptTitle="Pihak Pengelola Wisata Pantai" prompt="Tidak Ada_x000a_Pemerintah_x000a_Swasta_x000a_BUMN_x000a_BUMD_x000a_BUM Des_x000a_BUM Des Bersama_x000a_Kelompok_x000a_Pribadi_x000a_Lainnya" sqref="H119" xr:uid="{00000000-0002-0000-0100-00009A010000}">
      <formula1>IF(H117="Tidak Ada",Tidak_Ada,Pengelola_wisata)</formula1>
    </dataValidation>
    <dataValidation type="list" showInputMessage="1" showErrorMessage="1" promptTitle="Usia SMP Putus/ Tidak Sekolah" prompt="Keterangan:_x000a_0 : Tidak Ada_x000a_1 : Ada" sqref="H704" xr:uid="{00000000-0002-0000-0100-00009B010000}">
      <formula1>"0,1"</formula1>
    </dataValidation>
    <dataValidation type="list" allowBlank="1" showInputMessage="1" showErrorMessage="1" promptTitle="Trayek Tranportasi Angkutan Umum" prompt="Ada_x000a_Tidak Ada" sqref="H2137" xr:uid="{00000000-0002-0000-0100-00009C010000}">
      <formula1>"Ada, Tidak Ada"</formula1>
    </dataValidation>
    <dataValidation type="decimal" allowBlank="1" showInputMessage="1" showErrorMessage="1" promptTitle="Luas Lahan Tanaman Sorgum" prompt="(Dalam Satuan Luas Ha)_x000a_1 Km2 = 100 Ha" sqref="H1017" xr:uid="{00000000-0002-0000-0100-00009D010000}">
      <formula1>0</formula1>
      <formula2>IF(H1016="tidak ada",0,25000)</formula2>
    </dataValidation>
    <dataValidation type="whole" allowBlank="1" showInputMessage="1" showErrorMessage="1" sqref="H1783:H1784" xr:uid="{00000000-0002-0000-0100-00009E010000}">
      <formula1>0</formula1>
      <formula2>15</formula2>
    </dataValidation>
    <dataValidation type="list" allowBlank="1" showInputMessage="1" showErrorMessage="1" promptTitle="Layanan Tempat Praktik Bidan" prompt="Ada_x000a_Tidak Ada" sqref="H1849 H1830" xr:uid="{00000000-0002-0000-0100-00009F010000}">
      <formula1>"Ada, Tidak Ada"</formula1>
    </dataValidation>
    <dataValidation type="custom" operator="lessThanOrEqual" allowBlank="1" showInputMessage="1" showErrorMessage="1" errorTitle="Perhatikan Inputan Data" error="Total Penduduk Berdasarkan Struktur Usia Tidak Bisa Lebih Besar dari Total Penduduk di Desa" promptTitle="Penduduk Berdasarkan Usia" prompt="&lt;3Tahun" sqref="H503" xr:uid="{00000000-0002-0000-0100-0000A0010000}">
      <formula1>SUM($H$503:$H$509)&lt;=$H$493</formula1>
    </dataValidation>
    <dataValidation allowBlank="1" showInputMessage="1" showErrorMessage="1" promptTitle="Nama Lengkap Kasi Pelayanan" prompt=" " sqref="H61" xr:uid="{00000000-0002-0000-0100-0000A1010000}"/>
    <dataValidation type="custom" operator="lessThan" allowBlank="1" showInputMessage="1" showErrorMessage="1" errorTitle="Perhatikan Inputan Data" error="Jlh KK Perempuan Melebihi Total KK di desa!" promptTitle="Total Kepala Keluarga Perempuan" prompt=" " sqref="H500" xr:uid="{00000000-0002-0000-0100-0000A2010000}">
      <formula1>(H500+H501)&lt;=H499</formula1>
    </dataValidation>
    <dataValidation allowBlank="1" showInputMessage="1" showErrorMessage="1" promptTitle="Sumber Listrik Biomasa/Bigas" prompt="Ada_x000a_Tidak Ada_x000a_(IDM S 399.c)" sqref="H1908" xr:uid="{00000000-0002-0000-0100-0000A3010000}"/>
    <dataValidation type="list" showInputMessage="1" showErrorMessage="1" promptTitle="Desa Ikutserta Bumdesa Bersama" prompt="Terdapat Bumdes Bersama di Desa_x000a_0: Tidak Ada_x000a_1: Ada" sqref="H1400" xr:uid="{00000000-0002-0000-0100-0000A4010000}">
      <formula1>"0,1"</formula1>
    </dataValidation>
    <dataValidation allowBlank="1" showInputMessage="1" showErrorMessage="1" promptTitle="Sumber Air Minum Lainnya" prompt="Sebutkan" sqref="H893" xr:uid="{00000000-0002-0000-0100-0000A5010000}"/>
    <dataValidation type="list" showInputMessage="1" showErrorMessage="1" promptTitle="Ada Tidaknya Taman Baca/ Perpus" prompt="Keterangan:_x000a_0 : Tidak Ada_x000a_1 : Ada" sqref="H729" xr:uid="{00000000-0002-0000-0100-0000A7010000}">
      <formula1>"0,1"</formula1>
    </dataValidation>
    <dataValidation type="decimal" allowBlank="1" showInputMessage="1" showErrorMessage="1" promptTitle="Total Produksi Panen dalam 1 Thn" prompt="Sebutkan (Ton Per Tahun)" sqref="H1105" xr:uid="{00000000-0002-0000-0100-0000A8010000}">
      <formula1>0</formula1>
      <formula2>IF(H1038="Tidak ada",0,25000)</formula2>
    </dataValidation>
    <dataValidation type="decimal" allowBlank="1" showInputMessage="1" showErrorMessage="1" promptTitle="Total Produksi Panen dalam 1 Thn" prompt="Sebutkan (Ton Per Tahun)" sqref="H1243" xr:uid="{00000000-0002-0000-0100-0000A9010000}">
      <formula1>0</formula1>
      <formula2>IF(H1038="Tidak ada",0,25000)</formula2>
    </dataValidation>
    <dataValidation type="decimal" allowBlank="1" showInputMessage="1" showErrorMessage="1" promptTitle="Total Produksi Panen dalam 1 Thn" prompt="Sebutkan (Ton Per Tahun)" sqref="H1187" xr:uid="{00000000-0002-0000-0100-0000AA010000}">
      <formula1>0</formula1>
      <formula2>IF(H1038="Tidak ada",0,25000)</formula2>
    </dataValidation>
    <dataValidation type="list" allowBlank="1" showInputMessage="1" showErrorMessage="1" promptTitle="Terdapat Wisata Taman" prompt="Ada_x000a_Tidak Ada" sqref="H189" xr:uid="{00000000-0002-0000-0100-0000AC010000}">
      <formula1>"Ada, Tidak Ada"</formula1>
    </dataValidation>
    <dataValidation type="whole" operator="greaterThanOrEqual" allowBlank="1" showInputMessage="1" showErrorMessage="1" promptTitle="Total LPM dan Anggota" prompt="LPM dan Anggota Laki-Laki_x000a_(Terisi dari Unggah Template Staf Petugas Desa dan Lembaga Kemasayarakatan Desa)" sqref="H81" xr:uid="{00000000-0002-0000-0100-0000AE010000}">
      <formula1>0</formula1>
    </dataValidation>
    <dataValidation type="whole" operator="lessThanOrEqual" allowBlank="1" showInputMessage="1" showErrorMessage="1" promptTitle="Jlh SD/MI di Desa" prompt=" " sqref="H673" xr:uid="{00000000-0002-0000-0100-0000AF010000}">
      <formula1>20</formula1>
    </dataValidation>
    <dataValidation type="decimal" allowBlank="1" showInputMessage="1" showErrorMessage="1" error="Tidak Terdapat Produk Unggulan,_x000a_Diisi 0 (Nol)" promptTitle="Total Produksi Panen dalam 1 Thn" prompt="Sebutkan (Ton Per Tahun)" sqref="H1311" xr:uid="{00000000-0002-0000-0100-0000B0010000}">
      <formula1>0</formula1>
      <formula2>IF(LEN(H1274)&lt;3,0,25000)</formula2>
    </dataValidation>
    <dataValidation type="decimal" allowBlank="1" showInputMessage="1" showErrorMessage="1" error="Tidak Terdapat Produk Unggulan,_x000a_Diisi 0 (Nol)" promptTitle="Luas Lahan Tanaman " prompt="(Dalam Satuan Luas Ha)_x000a_1 Km2 = 100 Ha" sqref="H1134" xr:uid="{00000000-0002-0000-0100-0000B1010000}">
      <formula1>0</formula1>
      <formula2>IF(H1038="Tidak Ada",0,25000)</formula2>
    </dataValidation>
    <dataValidation allowBlank="1" showInputMessage="1" showErrorMessage="1" promptTitle="Dampak di Bidang Kesehatan" prompt=" " sqref="H395" xr:uid="{00000000-0002-0000-0100-0000B2010000}"/>
    <dataValidation type="decimal" allowBlank="1" showInputMessage="1" showErrorMessage="1" error="Tidak Terdapat Produk Unggulan,_x000a_Diisi 0 (Nol)" promptTitle="Total Produksi Panen dalam 1 Thn" prompt="Sebutkan (Ton Per Tahun)" sqref="H1321" xr:uid="{00000000-0002-0000-0100-0000B3010000}">
      <formula1>0</formula1>
      <formula2>IF(LEN(H1274)&lt;3,0,25000)</formula2>
    </dataValidation>
    <dataValidation type="decimal" allowBlank="1" showInputMessage="1" showErrorMessage="1" error="Tidak Terdapat Produk Unggulan,_x000a_Diisi 0 (Nol)" promptTitle="Luas Lahan Tanaman " prompt="(Dalam Satuan Luas Ha)_x000a_1 Km2 = 100 Ha" sqref="H1055" xr:uid="{00000000-0002-0000-0100-0000B4010000}">
      <formula1>0</formula1>
      <formula2>IF(H1038="Tidak Ada",0,25000)</formula2>
    </dataValidation>
    <dataValidation type="decimal" allowBlank="1" showInputMessage="1" showErrorMessage="1" promptTitle="Total Produksi Panen dalam 1 Thn" prompt="Sebutkan (Ton Per Tahun)" sqref="H1225" xr:uid="{00000000-0002-0000-0100-0000B6010000}">
      <formula1>0</formula1>
      <formula2>IF(H1038="Tidak ada",0,25000)</formula2>
    </dataValidation>
    <dataValidation type="list" allowBlank="1" showInputMessage="1" showErrorMessage="1" promptTitle="Pelayanan Pengaduan Masyarakat" prompt="1: Belum_x000a_5: Sudah" sqref="H2213" xr:uid="{00000000-0002-0000-0100-0000B7010000}">
      <formula1>"1,5"</formula1>
    </dataValidation>
    <dataValidation type="decimal" allowBlank="1" showInputMessage="1" showErrorMessage="1" error="Tidak Terdapat Gudang Pangan Milik Pribadi di Desa._x000a_Diisi 0 (NOL)" sqref="H1375" xr:uid="{00000000-0002-0000-0100-0000B8010000}">
      <formula1>0</formula1>
      <formula2>IF(H1372="tidak ada",0,10000)</formula2>
    </dataValidation>
    <dataValidation allowBlank="1" showInputMessage="1" showErrorMessage="1" prompt="IDM 259" sqref="H1721" xr:uid="{00000000-0002-0000-0100-0000B9010000}"/>
    <dataValidation type="whole" operator="lessThanOrEqual" allowBlank="1" showInputMessage="1" showErrorMessage="1" promptTitle="Jlh Perahu milik Perorangan" prompt="(Unit)" sqref="H486" xr:uid="{00000000-0002-0000-0100-0000BB010000}">
      <formula1>10000</formula1>
    </dataValidation>
    <dataValidation type="decimal" allowBlank="1" showInputMessage="1" showErrorMessage="1" promptTitle="Total Produksi Panen dalam 1 Thn" prompt="Sebutkan (Ton Per Tahun)" sqref="H1175" xr:uid="{00000000-0002-0000-0100-0000BC010000}">
      <formula1>0</formula1>
      <formula2>IF(H1038="Tidak ada",0,25000)</formula2>
    </dataValidation>
    <dataValidation type="list" allowBlank="1" showInputMessage="1" showErrorMessage="1" promptTitle="Status kelola Tambang Bauksit" prompt="Tidak Ada_x000a_Pemerintah_x000a_BUMN_x000a_BUMD_x000a_Swasta_x000a_Perorangan_x000a_Lainnya" sqref="H308" xr:uid="{00000000-0002-0000-0100-0000BD010000}">
      <formula1>IF($H304="tidak ada",Tidak_Ada,Tambang)</formula1>
    </dataValidation>
    <dataValidation type="list" allowBlank="1" showInputMessage="1" showErrorMessage="1" promptTitle="Transportasi Umum Layanan Nakes" prompt="Ada_x000a_Tidak Ada" sqref="H1867" xr:uid="{00000000-0002-0000-0100-0000BE010000}">
      <formula1>IF($H$155=1,Tidak_Ada,Ada)</formula1>
    </dataValidation>
    <dataValidation type="whole" operator="greaterThanOrEqual" allowBlank="1" showInputMessage="1" showErrorMessage="1" promptTitle="PAD Tahun 2024" prompt=" " sqref="H1594" xr:uid="{00000000-0002-0000-0100-0000BF010000}">
      <formula1>0</formula1>
    </dataValidation>
    <dataValidation type="list" allowBlank="1" showInputMessage="1" showErrorMessage="1" promptTitle="Aset Berupa Pasar Desa" prompt="1: Tidak Ada_x000a_3: Ada, tidak produktif untuk Kepentingan Masyarakat_x000a_5: Ada, produktif untuk Kepentingan Masyarakat_x000a_(IDM 901 e-h)" sqref="H2247" xr:uid="{00000000-0002-0000-0100-0000C0010000}">
      <formula1>IF(OR((SUM($H$1615:$H$1617)&gt;0),LEN($H$1618)&gt;1),damai,Non_listrik)</formula1>
    </dataValidation>
    <dataValidation type="whole" operator="lessThanOrEqual" allowBlank="1" showInputMessage="1" showErrorMessage="1" promptTitle="Jlh SMU/MA/SMK di Desa" prompt=" " sqref="H683" xr:uid="{00000000-0002-0000-0100-0000C2010000}">
      <formula1>20</formula1>
    </dataValidation>
    <dataValidation type="whole" allowBlank="1" showInputMessage="1" showErrorMessage="1" errorTitle="PERHATIAN" error="Tidak Melebihi Jumlah Anak 7-12 Tahun di Desa" sqref="H1756" xr:uid="{00000000-0002-0000-0100-0000C3010000}">
      <formula1>0</formula1>
      <formula2>H1755</formula2>
    </dataValidation>
    <dataValidation type="decimal" allowBlank="1" showInputMessage="1" showErrorMessage="1" promptTitle="Luas Lahan Tanaman Gandum" prompt="(Dalam Satuan Luas Ha)_x000a_1 Km2 = 100 Ha" sqref="H1025" xr:uid="{00000000-0002-0000-0100-0000C4010000}">
      <formula1>0</formula1>
      <formula2>IF(H1024="tidak ada",0,25000)</formula2>
    </dataValidation>
    <dataValidation type="decimal" allowBlank="1" showInputMessage="1" showErrorMessage="1" error="Tidak Terdapat Produk Unggulan,_x000a_Diisi 0 (Nol)" promptTitle="Luas Lahan Tanaman " prompt="(Dalam Satuan Luas Ha)_x000a_1 Km2 = 100 Ha" sqref="H1242" xr:uid="{00000000-0002-0000-0100-0000C5010000}">
      <formula1>0</formula1>
      <formula2>IF(H1038="Tidak Ada",0,25000)</formula2>
    </dataValidation>
    <dataValidation type="decimal" allowBlank="1" showInputMessage="1" showErrorMessage="1" error="Tidak Terdapat Produk Unggulan,_x000a_Diisi 0 (Nol)" promptTitle="Luas Lahan Tanaman " prompt="(Dalam Satuan Luas Ha)_x000a_1 Km2 = 100 Ha" sqref="H1174" xr:uid="{00000000-0002-0000-0100-0000C6010000}">
      <formula1>0</formula1>
      <formula2>IF(H1038="Tidak Ada",0,25000)</formula2>
    </dataValidation>
    <dataValidation type="list" allowBlank="1" showInputMessage="1" showErrorMessage="1" promptTitle="Trayek Tranportasi Taksi" prompt="Ada_x000a_Tidak Ada" sqref="H2138" xr:uid="{00000000-0002-0000-0100-0000C7010000}">
      <formula1>"Ada, Tidak Ada"</formula1>
    </dataValidation>
    <dataValidation type="list" operator="lessThanOrEqual" allowBlank="1" showInputMessage="1" showErrorMessage="1" promptTitle="Tujuan Pasar Hasil Panen " prompt="Domestik (Dalam Negeri)_x000a_Ekspor (Luar Negeri)_x000a__x000a_" sqref="H459" xr:uid="{00000000-0002-0000-0100-0000C8010000}">
      <formula1>IF(H398="Tidak ada",Tidak_Ada,Pasar)</formula1>
    </dataValidation>
    <dataValidation type="list" showInputMessage="1" showErrorMessage="1" promptTitle="Tersedia Tempat Praktek Dokter" prompt="0: Tidak Ada_x000a_1: Ada_x000a__x000a_" sqref="H574" xr:uid="{00000000-0002-0000-0100-0000C9010000}">
      <formula1>"0,1"</formula1>
    </dataValidation>
    <dataValidation type="whole" operator="lessThanOrEqual" allowBlank="1" showInputMessage="1" showErrorMessage="1" errorTitle="PERHATIKAN JUMLAH PENDUDUK" error="CEK JUMLAH PENDUDUK DI DESA, Tidak dapat Melebihi Jumlah Penduduk._x000a_Tidak Terdapat Tambang Perak_x000a_(Hanya diInput Angka)" promptTitle="Jlh Naker Tambang Perak" prompt=" (Diisi Angka)" sqref="H330" xr:uid="{00000000-0002-0000-0100-0000CA010000}">
      <formula1>IF(H328="tidak ada",0,$H$493)</formula1>
    </dataValidation>
    <dataValidation type="list" showInputMessage="1" showErrorMessage="1" promptTitle="Pencemaran Air" prompt="Terjadi pencemaran air_x000a_0: Tidak_x000a_1: Ya" sqref="H1479" xr:uid="{00000000-0002-0000-0100-0000CB010000}">
      <formula1>"0,1"</formula1>
    </dataValidation>
    <dataValidation type="list" allowBlank="1" showInputMessage="1" showErrorMessage="1" promptTitle="Terdapat Keg OR Bulutangkis" prompt="1. Tidak terdapat Kegiatan_x000a_2. Terdapat 1 Kali Kegiatan_x000a_3. Terdapat 2-3 Kali Kegiatan_x000a_4. Terdapat 4-5 Kali Kegiatan_x000a_5. Terdapat &gt;5 Kali Kegiatan" sqref="H1946" xr:uid="{00000000-0002-0000-0100-0000CC010000}">
      <formula1>"1,2,3,4,5"</formula1>
    </dataValidation>
    <dataValidation type="whole" allowBlank="1" showInputMessage="1" showErrorMessage="1" error="Tidak lebih besar dari Jumlah Rumah" promptTitle="Jumlah Rumah Terakses Air Minum" prompt="(Diisi Angka)" sqref="H1895" xr:uid="{00000000-0002-0000-0100-0000CD010000}">
      <formula1>0</formula1>
      <formula2>H1719</formula2>
    </dataValidation>
    <dataValidation allowBlank="1" showInputMessage="1" showErrorMessage="1" promptTitle="Alamat Kantor Desa" prompt="Alamat Lengkap Kantor Desa" sqref="H28" xr:uid="{00000000-0002-0000-0100-0000CE010000}"/>
    <dataValidation type="custom" operator="lessThanOrEqual" allowBlank="1" showInputMessage="1" showErrorMessage="1" errorTitle="Perhatikan Inputan Data" error="Total Penduduk Berdasarkan Struktur Usia Tidak Bisa Lebih Besar dari Total Penduduk di Desa" promptTitle="Penduduk Berdasarkan Usia" prompt="3-6 Tahun" sqref="H504" xr:uid="{00000000-0002-0000-0100-0000CF010000}">
      <formula1>SUM($H$503:$H$509)&lt;=$H$493</formula1>
    </dataValidation>
    <dataValidation type="whole" allowBlank="1" showInputMessage="1" showErrorMessage="1" prompt="IDM S 354.e" sqref="H1739" xr:uid="{00000000-0002-0000-0100-0000D0010000}">
      <formula1>0</formula1>
      <formula2>100</formula2>
    </dataValidation>
    <dataValidation allowBlank="1" showInputMessage="1" showErrorMessage="1" promptTitle="Kemudahan Akses ke Pos /Logistik" prompt="1: Sangat sulit_x000a_2: Sulit_x000a_3: Sedang_x000a_4: Mudah_x000a_5: Sangat Mudah" sqref="H2057" xr:uid="{00000000-0002-0000-0100-0000D1010000}"/>
    <dataValidation type="list" showInputMessage="1" showErrorMessage="1" promptTitle="Jasa Ekspedisi" prompt="Terdapat pelayanan jasa ekspedisi di Desa_x000a_0: Tidak Ada_x000a_1: Ada" sqref="H1369" xr:uid="{00000000-0002-0000-0100-0000D3010000}">
      <formula1>"0,1"</formula1>
    </dataValidation>
    <dataValidation type="list" showInputMessage="1" showErrorMessage="1" promptTitle="Tdapat Bumdesa Perdagangan" prompt="Terdapat Bumdesa Perdagangan Bidang Sembako_x000a_0: Tidak Ada_x000a_1: Ada" sqref="H1421" xr:uid="{00000000-0002-0000-0100-0000D4010000}">
      <formula1>IF($H$1414=0,Tidak_tersedia,Tersedia)</formula1>
    </dataValidation>
    <dataValidation type="list" allowBlank="1" showInputMessage="1" showErrorMessage="1" promptTitle="Jabatan Petugas Pengisi Formulir" prompt="Pendamping Lokal Desa_x000a_Pendamping Desa_x000a_Perangkat Desa" sqref="H10" xr:uid="{00000000-0002-0000-0100-0000D5010000}">
      <formula1>"Pendamping Lokal Desa, Pendamping Desa, Perangkat Desa"</formula1>
    </dataValidation>
    <dataValidation type="list" showInputMessage="1" showErrorMessage="1" promptTitle="Indosat" prompt="Operator / provider telepon seluler Indosat dapat menerima sinyal_x000a_0: Tidak_x000a_1: Ya" sqref="H934" xr:uid="{00000000-0002-0000-0100-0000D7010000}">
      <formula1>"0,1"</formula1>
    </dataValidation>
    <dataValidation type="whole" operator="lessThanOrEqual" allowBlank="1" showInputMessage="1" showErrorMessage="1" promptTitle="Jlh KK Manfaatkn E-Panas Bumi" prompt=" " sqref="H924" xr:uid="{00000000-0002-0000-0100-0000D8010000}">
      <formula1>$H$499</formula1>
    </dataValidation>
    <dataValidation allowBlank="1" showInputMessage="1" showErrorMessage="1" promptTitle="Pengguna Bagi Hasil Lainnya" prompt="sebutkan" sqref="H1554" xr:uid="{00000000-0002-0000-0100-0000D9010000}"/>
    <dataValidation allowBlank="1" showInputMessage="1" showErrorMessage="1" promptTitle="Jumlah SMA/SMK/MA/MAK di desa" prompt="IDM S 348.a" sqref="H1771" xr:uid="{00000000-0002-0000-0100-0000DA010000}"/>
    <dataValidation type="whole" operator="lessThanOrEqual" allowBlank="1" showInputMessage="1" showErrorMessage="1" errorTitle="PERHATIKAN JUMLAH PENDUDUK" error="CEK JUMLAH PENDUDUK DI DESA, Tidak dapat Melebihi Jumlah Penduduk._x000a_Tidak Terdapat Tambang Nikel_x000a_(Hanya diInput Angka)" promptTitle="Jlh Naker Tambang Nikel" prompt=" (Diisi Angka)" sqref="H292" xr:uid="{00000000-0002-0000-0100-0000DB010000}">
      <formula1>IF(H290="tidak ada",0,$H$493)</formula1>
    </dataValidation>
    <dataValidation type="whole" operator="lessThanOrEqual" allowBlank="1" showInputMessage="1" showErrorMessage="1" errorTitle="PERHATIKAN JUMLAH PENDUDUK" error="CEK JUMLAH PENDUDUK DI DESA, Tidak dapat Melebihi Jumlah Penduduk._x000a_Tidak Terdapat Tambang Nikel_x000a_(Hanya diInput Angka)" promptTitle="Jlh Naker Tambang Batu Kerikil" prompt=" (Diisi Angka)" sqref="H368" xr:uid="{00000000-0002-0000-0100-0000DC010000}">
      <formula1>IF(H366="tidak ada",0,$H$493)</formula1>
    </dataValidation>
    <dataValidation type="list" allowBlank="1" showInputMessage="1" showErrorMessage="1" promptTitle="Terdapat Kejahatan Pembunuhan" prompt="Keterangan:_x000a_0 : Tidak Ada_x000a_1 : Ada" sqref="H836" xr:uid="{00000000-0002-0000-0100-0000DD010000}">
      <formula1>"0,1"</formula1>
    </dataValidation>
    <dataValidation type="list" allowBlank="1" showInputMessage="1" showErrorMessage="1" promptTitle="Ketersediaan Tenaga Kesehatan" prompt="0: Tidak Ada_x000a_1: Ada" sqref="H592" xr:uid="{00000000-0002-0000-0100-0000DE010000}">
      <formula1>"0,1"</formula1>
    </dataValidation>
    <dataValidation allowBlank="1" showInputMessage="1" showErrorMessage="1" promptTitle="APM anak Usia 3-6 Tahun PAUD/TK" prompt="1: 0 - 20%_x000a_2: &gt;20 - 40%_x000a_3: &gt;40 - 60%_x000a_4: &gt;60 - 80%_x000a_5: &gt;80 - 100%" sqref="H1745" xr:uid="{00000000-0002-0000-0100-0000DF010000}"/>
    <dataValidation type="list" allowBlank="1" showInputMessage="1" showErrorMessage="1" promptTitle="Data Input dari Template" prompt="Otomatis dari file unggah template Sunting" sqref="H667:H669 H662:H663" xr:uid="{00000000-0002-0000-0100-0000E0010000}">
      <formula1>"Ada, Tidak Ada"</formula1>
    </dataValidation>
    <dataValidation allowBlank="1" showInputMessage="1" showErrorMessage="1" promptTitle="Nama Pengelola Bumdesa" prompt=" " sqref="H1453" xr:uid="{00000000-0002-0000-0100-0000E1010000}"/>
    <dataValidation type="list" allowBlank="1" showInputMessage="1" showErrorMessage="1" promptTitle="Aset Berupa Tanah Desa" prompt="1: Tidak Ada_x000a_3: Ada, tidak produktif untuk Kepentingan Masyarakat_x000a_5: Ada, produktif untuk Kepentingan Masyarakat_x000a_(IDM 901.a)" sqref="H2245" xr:uid="{00000000-0002-0000-0100-0000E2010000}">
      <formula1>IF($H$1611=1,damai,Non_listrik)</formula1>
    </dataValidation>
    <dataValidation type="decimal" allowBlank="1" showInputMessage="1" showErrorMessage="1" error="Tidak Terdapat Produk Unggulan,_x000a_Diisi 0 (Nol)" promptTitle="Total Produksi Panen dalam 1 Thn" prompt="Sebutkan (Ton Per Tahun)" sqref="H1307" xr:uid="{00000000-0002-0000-0100-0000E3010000}">
      <formula1>0</formula1>
      <formula2>IF(LEN(H1274)&lt;3,0,25000)</formula2>
    </dataValidation>
    <dataValidation type="list" allowBlank="1" showInputMessage="1" showErrorMessage="1" promptTitle="Transport SMA/SMK/MA/Sederajat" prompt="Ada_x000a_Tidak Ada" sqref="H1776" xr:uid="{00000000-0002-0000-0100-0000E4010000}">
      <formula1>"Ada, Tidak Ada"</formula1>
    </dataValidation>
    <dataValidation allowBlank="1" showInputMessage="1" showErrorMessage="1" prompt="Nama Akun Facebook Desa" sqref="H37" xr:uid="{00000000-0002-0000-0100-0000E5010000}"/>
    <dataValidation type="list" allowBlank="1" showInputMessage="1" showErrorMessage="1" promptTitle="Buku Lembaga Kemasyarakatan desa" prompt="Diisi_x000a_Tidak Diisi" sqref="H2185" xr:uid="{00000000-0002-0000-0100-0000E6010000}">
      <formula1>IF($H$2181="Belum",Tidak_Diisi,Diisi)</formula1>
    </dataValidation>
    <dataValidation allowBlank="1" showInputMessage="1" showErrorMessage="1" promptTitle="Terdapat Layanan Fasilitas KUR" prompt="1: Tidak ada_x000a_5: Ada_x000a_(IDM E 536.a)" sqref="H2070" xr:uid="{00000000-0002-0000-0100-0000E8010000}"/>
    <dataValidation type="decimal" operator="lessThanOrEqual" allowBlank="1" showInputMessage="1" showErrorMessage="1" error="Tidak terdapat Perkebunan Lainnya._x000a_Diisi 0 (NOL)" promptTitle="Total Produksi dalam 1 Tahun" prompt="Sebutkan (Satuan Ton)_x000a_" sqref="H475" xr:uid="{00000000-0002-0000-0100-0000E9010000}">
      <formula1>IF(H470="Tidak ada",0,10000)</formula1>
    </dataValidation>
    <dataValidation type="whole" operator="lessThanOrEqual" allowBlank="1" showInputMessage="1" showErrorMessage="1" error="Tidak Terdapat Wisata Air Terjun,_x000a_Diisi 0 (Nol)" promptTitle="Jlh Naker Desa Wisata Air Terjun" prompt="Isi dengan Angka" sqref="H158" xr:uid="{00000000-0002-0000-0100-0000EA010000}">
      <formula1>IF(H152="tidak ada",0,10000)</formula1>
    </dataValidation>
    <dataValidation type="list" operator="lessThanOrEqual" showInputMessage="1" showErrorMessage="1" promptTitle="Tdpt Lembaga/Organisasi Wanita?" prompt="Keterangan:_x000a_0 : Tidak Ada_x000a_1 : Ada" sqref="H754" xr:uid="{00000000-0002-0000-0100-0000EB010000}">
      <formula1>"0,1"</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Nelayan" prompt="Jumlah Pekerja Nelayan Perempuan" sqref="H514" xr:uid="{00000000-0002-0000-0100-0000EC010000}">
      <formula1>($H$511+$H$512+$H$513+$H$514+$H$515+$H$516+$H$517+$H$518+$H$519+$H$520+$H$521+$H$522+$H$523+$H$524+$H$525+$H$526+$H$527+$H$528+$H$529+$H$530+$H$531+$H$532+$H$533+$H$534+$H$535)&lt;=$H$493</formula1>
    </dataValidation>
    <dataValidation type="decimal" operator="lessThanOrEqual" allowBlank="1" showInputMessage="1" showErrorMessage="1" error="Tidak Tedapat Tambang Golongan A Lainnya_x000a_Diisi 0 (NOL)" promptTitle="Luas Tambang Golongan A Lainnya" prompt="(Dalam Satuan Luas Ha)_x000a_1 Km2 = 100 Ha" sqref="H298" xr:uid="{00000000-0002-0000-0100-0000ED010000}">
      <formula1>IF(H296="Tidak Ada",0,25000)</formula1>
    </dataValidation>
    <dataValidation type="decimal" allowBlank="1" showInputMessage="1" showErrorMessage="1" promptTitle="Total Produksi Panen dalam 1 Thn" prompt="Sebutkan (Ton Per Tahun)" sqref="H1181" xr:uid="{00000000-0002-0000-0100-0000EE010000}">
      <formula1>0</formula1>
      <formula2>IF(H1038="Tidak ada",0,25000)</formula2>
    </dataValidation>
    <dataValidation type="whole" allowBlank="1" showInputMessage="1" showErrorMessage="1" promptTitle="Jarak menuju Poskesdes/Polindes" prompt="(Diisi Angka)" sqref="H1812" xr:uid="{00000000-0002-0000-0100-0000F0010000}">
      <formula1>0</formula1>
      <formula2>5000</formula2>
    </dataValidation>
    <dataValidation type="list" allowBlank="1" showInputMessage="1" showErrorMessage="1" promptTitle="Lama Periode Kades Menjabat" prompt="Periode ke-1_x000a_Periode ke-2_x000a_Periode ke-3" sqref="H43" xr:uid="{00000000-0002-0000-0100-0000F1010000}">
      <formula1>"Periode ke-1, Periode ke-2, Periode ke-3"</formula1>
    </dataValidation>
    <dataValidation type="whole" allowBlank="1" showInputMessage="1" showErrorMessage="1" promptTitle="Frek Kejadian Bencana" prompt="Gelompang Pasang_x000a_(Kali/Tahun)" sqref="H1491" xr:uid="{00000000-0002-0000-0100-0000F3010000}">
      <formula1>0</formula1>
      <formula2>24</formula2>
    </dataValidation>
    <dataValidation type="decimal" operator="lessThanOrEqual" allowBlank="1" showInputMessage="1" showErrorMessage="1" promptTitle="Total Produksi Panen dalam 1 Thn" prompt="Sebutkan (Ton Per Tahun)" sqref="H1015" xr:uid="{00000000-0002-0000-0100-0000F4010000}">
      <formula1>IF(H960="tidak ada",0,25000)</formula1>
    </dataValidation>
    <dataValidation type="list" allowBlank="1" showInputMessage="1" showErrorMessage="1" promptTitle="Status kelola Tambang Batu Kali" prompt="Tidak Ada_x000a_Pemerintah_x000a_BUMN_x000a_BUMD_x000a_Swasta_x000a_Perorangan_x000a_Lainnya" sqref="H376" xr:uid="{00000000-0002-0000-0100-0000F5010000}">
      <formula1>IF($H372="tidak ada",Tidak_Ada,Tambang)</formula1>
    </dataValidation>
    <dataValidation allowBlank="1" showInputMessage="1" showErrorMessage="1" promptTitle="Pengelola Wisata Pantai" prompt="Sebutkan" sqref="H155 H120 H141 H127" xr:uid="{00000000-0002-0000-0100-0000F7010000}"/>
    <dataValidation type="list" showInputMessage="1" showErrorMessage="1" promptTitle="Tdapat Bumdesa Perdagangan" prompt="Terdapat Bumdesa Perdagangan Bidang Pertanian_x000a_0: Tidak Ada_x000a_1: Ada" sqref="H1415" xr:uid="{00000000-0002-0000-0100-0000F8010000}">
      <formula1>IF($H$1414=0,Tidak_tersedia,Tersedia)</formula1>
    </dataValidation>
    <dataValidation type="whole" operator="lessThanOrEqual" allowBlank="1" showInputMessage="1" showErrorMessage="1" promptTitle="Lama Pendampingan dari Luar" prompt=" (Bulan)" sqref="H1524" xr:uid="{00000000-0002-0000-0100-0000FA010000}">
      <formula1>100</formula1>
    </dataValidation>
    <dataValidation type="list" allowBlank="1" showInputMessage="1" showErrorMessage="1" promptTitle="Buku Administrasi BPD" prompt="Diisi_x000a_Tidak Diisi" sqref="H2183" xr:uid="{00000000-0002-0000-0100-0000FB010000}">
      <formula1>IF($H$2181="Belum",Tidak_Diisi,Diisi)</formula1>
    </dataValidation>
    <dataValidation type="whole" operator="lessThanOrEqual" allowBlank="1" showInputMessage="1" showErrorMessage="1" error="Tidak Terdapat Wisata Laut/Danau,_x000a_Diisi 0 (Nol)" promptTitle="Jlh Naker Desa Wisata Laut/Danau" prompt="Isi dengan Angka" sqref="H137" xr:uid="{00000000-0002-0000-0100-0000FC010000}">
      <formula1>IF(H131="tidak ada",0,10000)</formula1>
    </dataValidation>
    <dataValidation type="list" allowBlank="1" showInputMessage="1" showErrorMessage="1" promptTitle="Pihak Dampingan Wisata Laut/Dana" prompt="Tidak Ada_x000a_Pemerintah_x000a_BUMN_x000a_BUMD_x000a_Swasta (CSR)_x000a_Akademisi_x000a_Lainnya" sqref="H135" xr:uid="{00000000-0002-0000-0100-0000FD010000}">
      <formula1>IF(H131="tidak ada",Tidak_Ada,Pendamping_wisata)</formula1>
    </dataValidation>
    <dataValidation type="list" allowBlank="1" showInputMessage="1" showErrorMessage="1" promptTitle="Lama/Hari Sedia Layanan Bidan" prompt="1: Tidak memiliki waktu operasional yang tetap_x000a_3: Tersedia 1 kali lebih dari seminggu_x000a_5: Tersedia 1 kali dalam seminggu" sqref="H1851" xr:uid="{00000000-0002-0000-0100-0000FE010000}">
      <formula1>"1,3,5"</formula1>
    </dataValidation>
    <dataValidation type="whole" operator="lessThanOrEqual" allowBlank="1" showInputMessage="1" showErrorMessage="1" sqref="H1504" xr:uid="{00000000-0002-0000-0100-0000FF010000}">
      <formula1>50</formula1>
    </dataValidation>
    <dataValidation allowBlank="1" showInputMessage="1" showErrorMessage="1" prompt="IDM S 354.d" sqref="H1738" xr:uid="{00000000-0002-0000-0100-000000020000}"/>
    <dataValidation type="list" allowBlank="1" showInputMessage="1" showErrorMessage="1" promptTitle="Pendidikan Terakhir Plt/Sekdes" prompt="0. Tidak Pernah Sekolah_x000a_1. Tamat S3_x000a_2. Tamat S2_x000a_3. Tamat S1/DIV_x000a_4. Tamat Akademi DIII_x000a_5. Tamat SLTA/ Sederajat_x000a_6. Tamat SLTP/ Sederajat_x000a_7. Tamat SD/ Sederajat_x000a_8. Tidak Tamat SD/sederajat" sqref="H44" xr:uid="{00000000-0002-0000-0100-000001020000}">
      <formula1>"0,1, 2, 3, 4, 5,6,7,8"</formula1>
    </dataValidation>
    <dataValidation type="list" allowBlank="1" showInputMessage="1" showErrorMessage="1" promptTitle="P'dampingan Bidang Sosial Budaya" prompt="0: Tidak Ada_x000a_1: Ada" sqref="H1520" xr:uid="{00000000-0002-0000-0100-000003020000}">
      <formula1>"0,1"</formula1>
    </dataValidation>
    <dataValidation type="decimal" operator="lessThanOrEqual" allowBlank="1" showInputMessage="1" showErrorMessage="1" promptTitle="Total Produksi Panen dalam 1 Thn" prompt="Sebutkan (Ton Per Tahun)" sqref="H1007" xr:uid="{00000000-0002-0000-0100-000004020000}">
      <formula1>IF(H960="tidak ada",0,25000)</formula1>
    </dataValidation>
    <dataValidation type="list" allowBlank="1" showInputMessage="1" showErrorMessage="1" promptTitle="Sedia Lapangan/ Fasilitas Lainny" prompt="1: Tidak ada fasilitas_x000a_2: Ada, kondisi rusak parah_x000a_3: Ada, Kondisi rusak sedang_x000a_4: Ada, kondisi rusak ringan_x000a_5: Ada, kondisi baik" sqref="H1995" xr:uid="{00000000-0002-0000-0100-000005020000}">
      <formula1>"1,2,3,4,5"</formula1>
    </dataValidation>
    <dataValidation type="list" allowBlank="1" showInputMessage="1" showErrorMessage="1" promptTitle="Kejahatan Paling Sering Terjadi" prompt="0  : Tidak Terjadi Kejahatan_x000a_a1: Pencurian_x000a_a2: Penipuan/ Penggelapan_x000a_a3: Penganiayaan_x000a_a4: Pembakaran_x000a_a5: Perkosaan_x000a_a6: Narkoba_x000a_a7: Perjudian_x000a_a8: Pembunuhan_x000a_a9: Perdagangan Orang" sqref="H838" xr:uid="{00000000-0002-0000-0100-000006020000}">
      <formula1>"0,a1,a2,a3,a4,a5,a6,a7,a8,a9"</formula1>
    </dataValidation>
    <dataValidation type="list" allowBlank="1" showInputMessage="1" showErrorMessage="1" promptTitle="Jenis Kelamin Kaur Keuangan" prompt="Laki- Laki_x000a_Perempuan" sqref="H72" xr:uid="{00000000-0002-0000-0100-000007020000}">
      <formula1>"Laki-Laki, Perempuan"</formula1>
    </dataValidation>
    <dataValidation type="whole" operator="lessThanOrEqual" allowBlank="1" showInputMessage="1" showErrorMessage="1" promptTitle="Jlh Guru PAUD" prompt=" " sqref="H719" xr:uid="{00000000-0002-0000-0100-000008020000}">
      <formula1>30</formula1>
    </dataValidation>
    <dataValidation type="list" showInputMessage="1" showErrorMessage="1" errorTitle="Input Salah" error="Diisi angka 0 atau 1" promptTitle="Ketersediaan Bidan" prompt="0: Tidak Ada_x000a_1: Ada" sqref="H586" xr:uid="{00000000-0002-0000-0100-000009020000}">
      <formula1>"0,1"</formula1>
    </dataValidation>
    <dataValidation type="list" allowBlank="1" showInputMessage="1" showErrorMessage="1" promptTitle="Produk Unggulan Ubi Jalar" prompt="Ada_x000a_Tidak Ada" sqref="H980" xr:uid="{00000000-0002-0000-0100-00000A020000}">
      <formula1>"Ada, Tidak Ada"</formula1>
    </dataValidation>
    <dataValidation type="list" showInputMessage="1" showErrorMessage="1" promptTitle="Sumber Air untuk Mandi dan Cuci" prompt="Sumber Air Sumur Bor/ Pompa_x000a_Keterangan_x000a_0 : Tidak_x000a_1 : Ya" sqref="H897" xr:uid="{00000000-0002-0000-0100-00000B020000}">
      <formula1>"0,1"</formula1>
    </dataValidation>
    <dataValidation type="decimal" allowBlank="1" showInputMessage="1" showErrorMessage="1" error="Tidak Terdapat Produk Unggulan,_x000a_Diisi 0 (Nol)" promptTitle="Luas Lahan Tanaman " prompt="(Dalam Satuan Luas Ha)_x000a_1 Km2 = 100 Ha" sqref="H1180" xr:uid="{00000000-0002-0000-0100-00000C020000}">
      <formula1>0</formula1>
      <formula2>IF(H1038="Tidak Ada",0,25000)</formula2>
    </dataValidation>
    <dataValidation allowBlank="1" showInputMessage="1" showErrorMessage="1" promptTitle="Sarana informasi lainnya" prompt="(sebutkan)" sqref="H952" xr:uid="{00000000-0002-0000-0100-00000D020000}"/>
    <dataValidation type="decimal" allowBlank="1" showInputMessage="1" showErrorMessage="1" promptTitle="Total Produksi Panen dalam 1 Thn" prompt="Sebutkan (Ton Per Tahun)" sqref="H1065" xr:uid="{00000000-0002-0000-0100-00000E020000}">
      <formula1>0</formula1>
      <formula2>IF(H1038="Tidak ada",0,25000)</formula2>
    </dataValidation>
    <dataValidation type="list" showInputMessage="1" showErrorMessage="1" promptTitle="Telkomsel" prompt="Operator / provider telepon seluler Telkomsel dapat menerima sinyal_x000a_0: Tidak_x000a_1: Ya" sqref="H932" xr:uid="{00000000-0002-0000-0100-00000F020000}">
      <formula1>"0,1"</formula1>
    </dataValidation>
    <dataValidation type="whole" operator="greaterThanOrEqual" allowBlank="1" showInputMessage="1" showErrorMessage="1" promptTitle="PAD Tahun 2023" prompt=" " sqref="H1597 H1595" xr:uid="{00000000-0002-0000-0100-000011020000}">
      <formula1>0</formula1>
    </dataValidation>
    <dataValidation type="list" allowBlank="1" showInputMessage="1" showErrorMessage="1" promptTitle="Adanya PMKS Korban NAPZA" prompt="Keterangan:_x000a_0 : Tidak Ada_x000a_1 : Ada" sqref="H859" xr:uid="{00000000-0002-0000-0100-000013020000}">
      <formula1>"0,1"</formula1>
    </dataValidation>
    <dataValidation type="list" allowBlank="1" showInputMessage="1" showErrorMessage="1" promptTitle="Peraturan Bupati Kewenangan Desa" prompt="Sudah_x000a_Belum" sqref="H2187" xr:uid="{00000000-0002-0000-0100-000014020000}">
      <formula1>"Sudah, Belum"</formula1>
    </dataValidation>
    <dataValidation type="decimal" allowBlank="1" showInputMessage="1" showErrorMessage="1" error="Tidak Terdapat Produk Unggulan,_x000a_Diisi 0 (Nol)" promptTitle="Total Produksi Panen dalam 1 Thn" prompt="Sebutkan (Ton Per Tahun)" sqref="H1318" xr:uid="{00000000-0002-0000-0100-000015020000}">
      <formula1>0</formula1>
      <formula2>IF(LEN(H1274)&lt;3,0,25000)</formula2>
    </dataValidation>
    <dataValidation type="list" showInputMessage="1" showErrorMessage="1" promptTitle="Tdapat Bumdesa Bid Air Bersih" prompt="Terdapat Bumdesa Bisinis Sosial bidang Air Bersih_x000a_0: Tidak Ada_x000a_1: Ada" sqref="H1405" xr:uid="{00000000-0002-0000-0100-000016020000}">
      <formula1>IF($H$1404=0,Tidak_tersedia,Tersedia)</formula1>
    </dataValidation>
    <dataValidation type="list" allowBlank="1" showInputMessage="1" showErrorMessage="1" promptTitle="Pengelola Wisata Budaya Lainnya" prompt="Tidak Ada_x000a_Pemerintah_x000a_Swasta_x000a_BUMN_x000a_BUMD_x000a_BUM Des_x000a_BUM Des Bersama_x000a_Kelompok_x000a_Pribadi_x000a_Lainnya" sqref="H236" xr:uid="{00000000-0002-0000-0100-000017020000}">
      <formula1>IF(H233="Tidak Ada",Tidak_Ada,Pengelola_wisata)</formula1>
    </dataValidation>
    <dataValidation type="whole" operator="lessThanOrEqual" allowBlank="1" showInputMessage="1" showErrorMessage="1" promptTitle="Jumlah Penduduk Pendatang TA2023" prompt="Input Menggunakan Angka" sqref="H496" xr:uid="{00000000-0002-0000-0100-000018020000}">
      <formula1>500</formula1>
    </dataValidation>
    <dataValidation type="whole" operator="lessThanOrEqual" allowBlank="1" showInputMessage="1" showErrorMessage="1" promptTitle="Jlh Pengajar SD/MI" prompt=" " sqref="H674" xr:uid="{00000000-0002-0000-0100-00001A020000}">
      <formula1>500</formula1>
    </dataValidation>
    <dataValidation type="list" allowBlank="1" showInputMessage="1" showErrorMessage="1" promptTitle="Kampung KB" prompt="Ya_x000a_Tidak" sqref="H100" xr:uid="{00000000-0002-0000-0100-00001B020000}">
      <formula1>"Ya, Tidak"</formula1>
    </dataValidation>
    <dataValidation type="whole" allowBlank="1" showInputMessage="1" showErrorMessage="1" prompt="No Telp Kantor Desa Aktif" sqref="H35" xr:uid="{00000000-0002-0000-0100-00001C020000}">
      <formula1>0</formula1>
      <formula2>999999999999</formula2>
    </dataValidation>
    <dataValidation type="custom" operator="greaterThanOrEqual" allowBlank="1" showInputMessage="1" showErrorMessage="1" errorTitle="JLH PENDUDUK pd BIDANG PEKERJAAN" error="Total pendudukn Berdasarkan PEKERJAAN Harus LEBIH KECIL dari TOTAL PENDUDUK di Desa" promptTitle="Jumlah Pekerjaan Polri" prompt="Jumlah Pekerja Polri Perempuan" sqref="H528" xr:uid="{00000000-0002-0000-0100-00001D020000}">
      <formula1>($H$511+$H$512+$H$513+$H$514+$H$515+$H$516+$H$517+$H$518+$H$519+$H$520+$H$521+$H$522+$H$523+$H$524+$H$525+$H$526+$H$527+$H$528+$H$529+$H$530+$H$531+$H$532+$H$533+$H$534+$H$535)&lt;=$H$493</formula1>
    </dataValidation>
    <dataValidation type="list" showInputMessage="1" showErrorMessage="1" promptTitle="Tdapat Bumdesa Pariwisata" prompt="Terdapat Bumdesa Parawisita Bidang Wisata Alam_x000a_0: Tidak Ada_x000a_1: Ada" sqref="H1445" xr:uid="{00000000-0002-0000-0100-00001E020000}">
      <formula1>IF($H$1442=0,Tidak_tersedia,Tersedia)</formula1>
    </dataValidation>
    <dataValidation type="list" showInputMessage="1" showErrorMessage="1" promptTitle="Operator lainnya" prompt="Operator / provider telepon seluler lainnya dapat menerima sinyal_x000a_0: Tidak_x000a_1: Ya" sqref="H938" xr:uid="{00000000-0002-0000-0100-00001F020000}">
      <formula1>"0,1"</formula1>
    </dataValidation>
    <dataValidation type="list" showInputMessage="1" showErrorMessage="1" promptTitle="Sarkes Terdekat" prompt="1: Rumah Sakit Umum_x000a_2: Rumah Sakit Ibu dan Anak_x000a_3: Rumah Bersalin_x000a_4: Puskesmas_x000a_5: Pustu_x000a_6: Poskesdes_x000a_7: Polindes_x000a_8: Tempat Praktik Dokter_x000a_9: Klinik Dokter" sqref="H542" xr:uid="{00000000-0002-0000-0100-000020020000}">
      <formula1>"1,2,3,4,5,6,7,8,9"</formula1>
    </dataValidation>
    <dataValidation type="list" allowBlank="1" showInputMessage="1" showErrorMessage="1" promptTitle="Pengguna Bagi Hasil 1 Kecamatan" prompt="0: Tidak Ada_x000a_1: Pemberdayaan Masyarakat_x000a_2: Pembangunan_x000a_3: Pemerintahan_x000a_4: Budaya/ Agama_x000a_5: Olahraga_x000a_6: Lainnya" sqref="H1553" xr:uid="{00000000-0002-0000-0100-000022020000}">
      <formula1>"0,1,2,3,4,5,6"</formula1>
    </dataValidation>
    <dataValidation allowBlank="1" showInputMessage="1" showErrorMessage="1" promptTitle="Dampak di Bidang Lingkungan" prompt=" " sqref="H393" xr:uid="{00000000-0002-0000-0100-000023020000}"/>
    <dataValidation type="decimal" allowBlank="1" showInputMessage="1" showErrorMessage="1" error="Tidak Terdapat Produk Unggulan,_x000a_Diisi 0 (Nol)" promptTitle="Luas Lahan Tanaman " prompt="(Dalam Satuan Luas Ha)_x000a_1 Km2 = 100 Ha" sqref="H1156" xr:uid="{00000000-0002-0000-0100-000024020000}">
      <formula1>0</formula1>
      <formula2>IF(H1038="Tidak Ada",0,25000)</formula2>
    </dataValidation>
    <dataValidation type="list" allowBlank="1" showInputMessage="1" showErrorMessage="1" promptTitle="Pihak Pengelola Wisata Sungai" prompt="Tidak Ada_x000a_Pemerintah_x000a_Swasta_x000a_BUMN_x000a_BUMD_x000a_BUM Des_x000a_BUM Des Bersama_x000a_Kelompok_x000a_Pribadi_x000a_Lainnya" sqref="H147" xr:uid="{00000000-0002-0000-0100-000025020000}">
      <formula1>IF(H145="Tidak Ada",Tidak_Ada,Pengelola_wisata)</formula1>
    </dataValidation>
    <dataValidation type="list" allowBlank="1" showInputMessage="1" showErrorMessage="1" promptTitle="Jenis Kelamin Kaur Perencanaan" prompt="Laki- Laki_x000a_Perempuan" sqref="H76" xr:uid="{00000000-0002-0000-0100-000026020000}">
      <formula1>"Laki-Laki, Perempuan"</formula1>
    </dataValidation>
    <dataValidation type="list" showInputMessage="1" showErrorMessage="1" promptTitle="Tersedia Puskesmas Rawat Inap" prompt="0: Tidak Ada_x000a_1: Ada_x000a__x000a_" sqref="H554" xr:uid="{00000000-0002-0000-0100-000027020000}">
      <formula1>"0,1"</formula1>
    </dataValidation>
    <dataValidation type="whole" operator="lessThanOrEqual" allowBlank="1" showInputMessage="1" showErrorMessage="1" error="Tidak Terdapat Wisata Hutan,_x000a_Diisi 0 (Nol)" promptTitle="Jlh Naker Desa Wisata Hutan" prompt="Isi dengan Angka" sqref="H144" xr:uid="{00000000-0002-0000-0100-000028020000}">
      <formula1>IF(H138="tidak ada",0,10000)</formula1>
    </dataValidation>
    <dataValidation type="decimal" allowBlank="1" showInputMessage="1" showErrorMessage="1" prompt="IDM S 347.c" sqref="H1762" xr:uid="{00000000-0002-0000-0100-000029020000}">
      <formula1>0</formula1>
      <formula2>20</formula2>
    </dataValidation>
    <dataValidation allowBlank="1" showInputMessage="1" showErrorMessage="1" promptTitle="Jumlah Rumah Tidak Layak Huni" prompt="(Diisi Angka)_x000a_IDM S 384.d" sqref="H1924" xr:uid="{00000000-0002-0000-0100-00002A020000}"/>
    <dataValidation allowBlank="1" showInputMessage="1" showErrorMessage="1" promptTitle="Aktivitas Wisata Budaya Lainnya" prompt="Sebutkan" sqref="H235" xr:uid="{00000000-0002-0000-0100-00002B020000}"/>
    <dataValidation type="decimal" allowBlank="1" showInputMessage="1" showErrorMessage="1" error="Tidak Terdapat Produk Unggulan,_x000a_Diisi 0 (Nol)" promptTitle="Luas Lahan Tanaman " prompt="(Dalam Satuan Luas Ha)_x000a_1 Km2 = 100 Ha" sqref="H1092" xr:uid="{00000000-0002-0000-0100-00002C020000}">
      <formula1>0</formula1>
      <formula2>IF(H1038="Tidak Ada",0,25000)</formula2>
    </dataValidation>
    <dataValidation type="list" showInputMessage="1" showErrorMessage="1" promptTitle="Akses Internet Warga" prompt="Warga Desa memiliki akses internet_x000a_0: Tidak_x000a_1: Ya" sqref="H948" xr:uid="{00000000-0002-0000-0100-00002E020000}">
      <formula1>"0,1"</formula1>
    </dataValidation>
    <dataValidation type="list" allowBlank="1" showInputMessage="1" showErrorMessage="1" promptTitle="Pihak Pengelola Wisata Hutan" prompt="Tidak Ada_x000a_Pemerintah_x000a_Swasta_x000a_BUMN_x000a_BUMD_x000a_BUM Des_x000a_BUM Des Bersama_x000a_Kelompok_x000a_Pribadi_x000a_Lainnya" sqref="H140" xr:uid="{00000000-0002-0000-0100-00002F020000}">
      <formula1>IF(H138="Tidak Ada",Tidak_Ada,Pengelola_wisata)</formula1>
    </dataValidation>
    <dataValidation type="list" allowBlank="1" showInputMessage="1" showErrorMessage="1" promptTitle="Dampingan Wisata Budaya Lainnya" prompt="Tidak Ada_x000a_Pemerintah_x000a_BUMN_x000a_BUMD_x000a_Swasta (CSR)_x000a_Akademisi_x000a_Lainnya" sqref="H238" xr:uid="{00000000-0002-0000-0100-000030020000}">
      <formula1>IF(H233="tidak ada",Tidak_Ada,Pendamping_wisata)</formula1>
    </dataValidation>
    <dataValidation allowBlank="1" showInputMessage="1" showErrorMessage="1" promptTitle="Desa Model Lainnya" prompt="Sebutkan" sqref="H113" xr:uid="{00000000-0002-0000-0100-000032020000}"/>
    <dataValidation allowBlank="1" showInputMessage="1" showErrorMessage="1" promptTitle="Aktivitas Wisata Alam Lainnya" prompt="Sebutkan" sqref="H168" xr:uid="{00000000-0002-0000-0100-000033020000}"/>
    <dataValidation type="whole" allowBlank="1" showInputMessage="1" showErrorMessage="1" promptTitle="Jlh Kegiatan Lembaga Adat (LAD)" prompt="(Diisi Angka)" sqref="H2209" xr:uid="{00000000-0002-0000-0100-000034020000}">
      <formula1>0</formula1>
      <formula2>24</formula2>
    </dataValidation>
    <dataValidation type="decimal" allowBlank="1" showInputMessage="1" showErrorMessage="1" promptTitle="Total Produksi Panen dalam 1 Thn" prompt="Sebutkan (Ton Per Tahun)" sqref="H1222" xr:uid="{00000000-0002-0000-0100-000035020000}">
      <formula1>0</formula1>
      <formula2>IF(H1038="Tidak ada",0,25000)</formula2>
    </dataValidation>
    <dataValidation type="list" allowBlank="1" showInputMessage="1" showErrorMessage="1" promptTitle="Pihak Dampingan Wisata Pegununga" prompt="Tidak Ada_x000a_Pemerintah_x000a_BUMN_x000a_BUMD_x000a_Swasta (CSR)_x000a_Akademisi_x000a_Lainnya" sqref="H128" xr:uid="{00000000-0002-0000-0100-000036020000}">
      <formula1>IF(H124="tidak ada",Tidak_Ada,Pendamping_wisata)</formula1>
    </dataValidation>
    <dataValidation type="list" allowBlank="1" showInputMessage="1" showErrorMessage="1" promptTitle="Buku APB Desa" prompt="Diisi_x000a_Tidak Diisi" sqref="H2169" xr:uid="{00000000-0002-0000-0100-000037020000}">
      <formula1>IF($H$2167="Belum",Tidak_Diisi,Diisi)</formula1>
    </dataValidation>
    <dataValidation allowBlank="1" showInputMessage="1" showErrorMessage="1" promptTitle="Pihak Pengelola Tambang Aspal" prompt="Sebutkan_x000a_" sqref="H283" xr:uid="{00000000-0002-0000-0100-000038020000}"/>
    <dataValidation type="list" allowBlank="1" showInputMessage="1" showErrorMessage="1" promptTitle="Terdapat Produk Unggulan Talas" prompt="Ada_x000a_Tidak Ada" sqref="H1000" xr:uid="{00000000-0002-0000-0100-000039020000}">
      <formula1>"Ada, Tidak Ada"</formula1>
    </dataValidation>
    <dataValidation type="list" allowBlank="1" showInputMessage="1" showErrorMessage="1" promptTitle="Adanya PMKS Korban Kekeras" prompt="Keterangan:_x000a_0 : Tidak Ada_x000a_1 : Ada" sqref="H857" xr:uid="{00000000-0002-0000-0100-00003A020000}">
      <formula1>"0,1"</formula1>
    </dataValidation>
    <dataValidation type="list" allowBlank="1" showInputMessage="1" showErrorMessage="1" promptTitle="Terdapat Pasar Lelang Pertanian" prompt="0: Tidak Ada_x000a_1: Ada" sqref="H1617" xr:uid="{00000000-0002-0000-0100-00003B020000}">
      <formula1>"0,1"</formula1>
    </dataValidation>
    <dataValidation type="decimal" allowBlank="1" showInputMessage="1" showErrorMessage="1" error="Tidak Terdapat Produk Unggulan,_x000a_Diisi 0 (Nol)" promptTitle="Luas Lahan Tanaman " prompt="(Dalam Satuan Luas Ha)_x000a_1 Km2 = 100 Ha" sqref="H1190" xr:uid="{00000000-0002-0000-0100-00003C020000}">
      <formula1>0</formula1>
      <formula2>IF(H1050="Tidak Ada",0,25000)</formula2>
    </dataValidation>
    <dataValidation type="list" showInputMessage="1" showErrorMessage="1" promptTitle="Terdapat Kelompok Olahraga" prompt="Keterangan:_x000a_0 : Tidak Ada_x000a_1 : Ada" sqref="H774" xr:uid="{00000000-0002-0000-0100-00003D020000}">
      <formula1>"0,1"</formula1>
    </dataValidation>
    <dataValidation allowBlank="1" showInputMessage="1" showErrorMessage="1" promptTitle="Aktivitas Wisata Air Panas" prompt="Contoh_x000a_Berendam, Berenang, Piknik" sqref="H160" xr:uid="{00000000-0002-0000-0100-00003E020000}"/>
    <dataValidation type="whole" operator="greaterThanOrEqual" allowBlank="1" showInputMessage="1" showErrorMessage="1" promptTitle="Total Kepala Dusun" prompt="Kepala Dusun Laki-Laki_x000a_(Terisi dari Unggah Template Staf Petugas Desa dan Lembaga Kemasayarakatan Desa)" sqref="H85" xr:uid="{00000000-0002-0000-0100-00003F020000}">
      <formula1>0</formula1>
    </dataValidation>
    <dataValidation allowBlank="1" showInputMessage="1" showErrorMessage="1" promptTitle="Tersedia Toko/Pertokoan di Desa" prompt="1: Tidak ada_x000a_5: Ada_x000a_(IDM E 517.a)" sqref="H2035" xr:uid="{00000000-0002-0000-0100-000040020000}"/>
    <dataValidation type="decimal" allowBlank="1" showInputMessage="1" showErrorMessage="1" promptTitle="Total Produksi Panen dalam 1 Thn" prompt="Sebutkan (Ton Per Tahun)" sqref="H1120" xr:uid="{00000000-0002-0000-0100-000041020000}">
      <formula1>0</formula1>
      <formula2>IF(H1038="Tidak ada",0,25000)</formula2>
    </dataValidation>
    <dataValidation type="whole" operator="lessThanOrEqual" allowBlank="1" showInputMessage="1" showErrorMessage="1" error="Tidak Terdapat Wisata Kuliner,_x000a_Diisi 0 (Nol)" promptTitle="Jlh Naker Desa Wisata Kuliner" prompt="Isi dengan Angka" sqref="H225" xr:uid="{00000000-0002-0000-0100-000042020000}">
      <formula1>IF(H219="tidak ada",0,10000)</formula1>
    </dataValidation>
    <dataValidation type="decimal" allowBlank="1" showInputMessage="1" showErrorMessage="1" error="Tidak Terdapat Produk Unggulan,_x000a_Diisi 0 (Nol)" promptTitle="Luas Lahan Tanaman " prompt="(Dalam Satuan Luas Ha)_x000a_1 Km2 = 100 Ha" sqref="H1138" xr:uid="{00000000-0002-0000-0100-000043020000}">
      <formula1>0</formula1>
      <formula2>IF(H1038="Tidak Ada",0,25000)</formula2>
    </dataValidation>
    <dataValidation type="list" allowBlank="1" showInputMessage="1" showErrorMessage="1" promptTitle="Terdapat Kejahatan Penganiayaan" prompt="Keterangan:_x000a_0 : Tidak Ada_x000a_1 : Ada" sqref="H831" xr:uid="{00000000-0002-0000-0100-000044020000}">
      <formula1>"0,1"</formula1>
    </dataValidation>
    <dataValidation type="decimal" allowBlank="1" showInputMessage="1" showErrorMessage="1" error="Tidak Terdapat Produk Unggulan,_x000a_Diisi 0 (Nol)" promptTitle="Total Produksi Panen dalam 1 Thn" prompt="Sebutkan (Ton Per Tahun)" sqref="H1299" xr:uid="{00000000-0002-0000-0100-000045020000}">
      <formula1>0</formula1>
      <formula2>IF(LEN(H1274)&lt;3,0,25000)</formula2>
    </dataValidation>
    <dataValidation type="list" allowBlank="1" showInputMessage="1" showErrorMessage="1" promptTitle="Ramah Perempuan &amp; Peduli Anak" prompt="Ya_x000a_Tidak" sqref="H99" xr:uid="{00000000-0002-0000-0100-000046020000}">
      <formula1>"Ya, Tidak"</formula1>
    </dataValidation>
    <dataValidation type="list" allowBlank="1" showInputMessage="1" showErrorMessage="1" promptTitle="Status Kelola Pkebunan Tembakau" prompt="Tidak Ada_x000a_Pemerintah_x000a_BUMN_x000a_BUMD_x000a_Swasta_x000a_Perorangan" sqref="H463" xr:uid="{00000000-0002-0000-0100-000047020000}">
      <formula1>IF(H461="Tidak ada",Tidak_Ada,kebun)</formula1>
    </dataValidation>
    <dataValidation allowBlank="1" showInputMessage="1" showErrorMessage="1" promptTitle="Tersedia Layanan Bidan" prompt="1:  Tidak Tersdia_x000a_5:  Tersedia_x000a_(IDM S 312.a)" sqref="H1843" xr:uid="{00000000-0002-0000-0100-000048020000}"/>
    <dataValidation allowBlank="1" showInputMessage="1" showErrorMessage="1" promptTitle="Pihak kelola Tambang Minyak Bumi" prompt="Sebutkan" sqref="H271" xr:uid="{00000000-0002-0000-0100-00004A020000}"/>
    <dataValidation allowBlank="1" showInputMessage="1" showErrorMessage="1" promptTitle="Pengelola Wisata Budaya Lainnya" prompt="Sebutkan" sqref="H237" xr:uid="{00000000-0002-0000-0100-00004B020000}"/>
    <dataValidation allowBlank="1" showInputMessage="1" showErrorMessage="1" promptTitle="Rara-rata Pencemaran Lingkingan" prompt="5: Skor pencemaran lingkungan bernilai 0_x000a_4: Skor pencemaran lingkungan bernilai &lt;0.5_x000a_2: Skor pencemaran lingkungan bernilai ≥0,5 _x000a_1: Skor pencemaran lingkungan bernilai 1" sqref="H2097" xr:uid="{00000000-0002-0000-0100-00004D020000}"/>
    <dataValidation type="list" showInputMessage="1" showErrorMessage="1" promptTitle="Tdapat Bumdesa Perantara" prompt="Terdapat Bumdesa Perantara_x000a_0: Tidak Ada_x000a_1: Ada" sqref="H1431" xr:uid="{00000000-0002-0000-0100-00004E020000}">
      <formula1>IF(H$1397=0,Tidak_tersedia,Tersedia)</formula1>
    </dataValidation>
    <dataValidation type="whole" operator="greaterThanOrEqual" allowBlank="1" showInputMessage="1" showErrorMessage="1" promptTitle="Jumlah Staf Petugas Desa" prompt="Staf Petugas Desa Laki-Laki_x000a_(Terisi dari Unggah Template Staf Petugas Desa dan Lembaga Kemasayarakatan Desa)" sqref="H77" xr:uid="{00000000-0002-0000-0100-00004F020000}">
      <formula1>0</formula1>
    </dataValidation>
    <dataValidation type="list" allowBlank="1" showInputMessage="1" showErrorMessage="1" promptTitle="Jenis Jalan Nasional" prompt=" Ya_x000a_Tidak" sqref="H2124" xr:uid="{00000000-0002-0000-0100-000050020000}">
      <formula1>"Ya, Tidak"</formula1>
    </dataValidation>
    <dataValidation type="whole" allowBlank="1" showInputMessage="1" showErrorMessage="1" error="Tidak Terdapat Kelompok/ Organisasi/ Lembaga tani._x000a_Max 24 kali/tahun_x000a_" promptTitle="Jlh Frek Lembaga Tani" prompt="(Kali/Thn)" sqref="H747" xr:uid="{00000000-0002-0000-0100-000051020000}">
      <formula1>0</formula1>
      <formula2>IF(H746=0,0,24)</formula2>
    </dataValidation>
    <dataValidation type="list" allowBlank="1" showInputMessage="1" showErrorMessage="1" promptTitle="Wilayah Desa berbatasan dgn laut" prompt="Ada_x000a_Tidak Ada" sqref="H1718" xr:uid="{00000000-0002-0000-0100-000052020000}">
      <formula1>"Ada, Tidak Ada"</formula1>
    </dataValidation>
    <dataValidation type="list" allowBlank="1" showInputMessage="1" showErrorMessage="1" promptTitle="Ketersediaan Septic Tank" prompt="Ada_x000a_Tidak Ada" sqref="H1883" xr:uid="{00000000-0002-0000-0100-000053020000}">
      <formula1>"Ada, Tidak Ada"</formula1>
    </dataValidation>
    <dataValidation allowBlank="1" showInputMessage="1" showErrorMessage="1" promptTitle="Pengelola Wisata Sungai" prompt="Sebutkan" sqref="H148" xr:uid="{00000000-0002-0000-0100-000054020000}"/>
    <dataValidation type="list" allowBlank="1" showInputMessage="1" showErrorMessage="1" promptTitle="PLD Dilibatkan Pendampingan Luar" prompt="0: Tidak Ada Pendampingan dari Luar_x000a_1: PLD Tidak Dilibatkan_x000a_2: PLD Dilibatkan" sqref="H1528" xr:uid="{00000000-0002-0000-0100-000056020000}">
      <formula1>"0,1,2"</formula1>
    </dataValidation>
    <dataValidation type="list" showInputMessage="1" showErrorMessage="1" promptTitle="Terdapat PJU" prompt="0: Tidak Ada_x000a_1: Ada" sqref="H926" xr:uid="{00000000-0002-0000-0100-000057020000}">
      <formula1>"0,1"</formula1>
    </dataValidation>
    <dataValidation type="list" operator="greaterThanOrEqual" allowBlank="1" showInputMessage="1" showErrorMessage="1" promptTitle="Mayoritas alat P'Tanian di desa" prompt="1. Traktor_x000a_2. Penggiling Beras_x000a_3. Perontok Padi_x000a_4. Alat Tanam Benih Padi_x000a_5. Alat Panen Padi_x000a_6. Alat Tanam Jagung_x000a_7. Alat Tanam lain_x000a_8. Alat P'olah Tanah lain_x000a_9. Masih Manual_x000a_10. Alat Tani Modern Lain;11. Alat Tani Tradisional Lain;12. Bukan Desa Pertanian" sqref="H1344" xr:uid="{00000000-0002-0000-0100-000058020000}">
      <formula1>"1,2,3,4,5,6,7,8,9,10,11,12"</formula1>
    </dataValidation>
    <dataValidation type="list" allowBlank="1" showInputMessage="1" showErrorMessage="1" promptTitle="Ketersediaan Puskesmas" prompt="Tersedia_x000a_Tidak Tersedia" sqref="H1792" xr:uid="{00000000-0002-0000-0100-000059020000}">
      <formula1>"Tersedia, Tidak Tersedia"</formula1>
    </dataValidation>
    <dataValidation type="list" allowBlank="1" showInputMessage="1" showErrorMessage="1" promptTitle="Durasi Layanan Listrik di Desa" prompt="1: Tidak tersedia_x000a_2: Tersedia &lt; 6 jam_x000a_4: Tersedia 6-12 jam_x000a_5: Tersedia &gt;12 " sqref="H1903" xr:uid="{00000000-0002-0000-0100-00005A020000}">
      <formula1>IF($H$1902=1,Non_listrik,Ada_listrik)</formula1>
    </dataValidation>
    <dataValidation type="decimal" operator="lessThanOrEqual" allowBlank="1" showInputMessage="1" showErrorMessage="1" promptTitle="Luas Hutan dikelola Perhutani" prompt="(Dalam Satuan Luas Ha)_x000a_1 Km2 = 100 Ha" sqref="H247" xr:uid="{00000000-0002-0000-0100-00005B020000}">
      <formula1>25000</formula1>
    </dataValidation>
    <dataValidation type="custom" operator="lessThanOrEqual" allowBlank="1" showInputMessage="1" showErrorMessage="1" errorTitle="Perhatikan Inputan Data" error="Total Penduduk Berdasarkan Struktur Usia Tidak Bisa Lebih Besar dari Total Penduduk di Desa" promptTitle="Penduduk Berdasarkan Usia" prompt="13-15 Tahun" sqref="H506" xr:uid="{00000000-0002-0000-0100-00005C020000}">
      <formula1>SUM($H$503:$H$509)&lt;=$H$493</formula1>
    </dataValidation>
    <dataValidation type="list" allowBlank="1" showInputMessage="1" showErrorMessage="1" promptTitle="Pengelola Wisata Sejatah &amp;Religi" prompt="Tidak Ada_x000a_Pemerintah_x000a_Swasta_x000a_BUMN_x000a_BUMD_x000a_BUM Des_x000a_BUM Des Bersama_x000a_Kelompok_x000a_Pribadi_x000a_Lainnya" sqref="H214" xr:uid="{00000000-0002-0000-0100-00005D020000}">
      <formula1>IF(H212="Tidak Ada",Tidak_Ada,Pengelola_wisata)</formula1>
    </dataValidation>
    <dataValidation type="decimal" allowBlank="1" showInputMessage="1" showErrorMessage="1" error="Tidak Terdapat Produk Unggulan,_x000a_Diisi 0 (Nol)" promptTitle="Luas Lahan Tanaman " prompt="(Dalam Satuan Luas Ha)_x000a_1 Km2 = 100 Ha" sqref="H1119" xr:uid="{00000000-0002-0000-0100-00005F020000}">
      <formula1>0</formula1>
      <formula2>IF(H1038="Tidak Ada",0,25000)</formula2>
    </dataValidation>
    <dataValidation type="list" allowBlank="1" showInputMessage="1" showErrorMessage="1" promptTitle="Layanan Dokter Melalui RS" prompt="Ada_x000a_Tidak Ada" sqref="H1827" xr:uid="{00000000-0002-0000-0100-000060020000}">
      <formula1>"Ada, Tidak Ada"</formula1>
    </dataValidation>
    <dataValidation allowBlank="1" showInputMessage="1" showErrorMessage="1" promptTitle="Nama Lengkap Sekdes" prompt=" " sqref="H48" xr:uid="{00000000-0002-0000-0100-000061020000}"/>
    <dataValidation type="decimal" allowBlank="1" showInputMessage="1" showErrorMessage="1" error="Tidak Terdapat Gudang Pangan Milik Swasta di Desa._x000a_Diisi 0 (NOL)" sqref="H1379" xr:uid="{00000000-0002-0000-0100-000062020000}">
      <formula1>0</formula1>
      <formula2>IF(H1376="tidak ada",0,10000)</formula2>
    </dataValidation>
    <dataValidation type="list" allowBlank="1" showInputMessage="1" showErrorMessage="1" promptTitle="Partisipasi Warga di Posyandu" prompt="0: Tidak Aktif_x000a_1: Aktif" sqref="H603" xr:uid="{00000000-0002-0000-0100-000064020000}">
      <formula1>IF($H$600&gt;0,Tersedia,Tidak_tersedia)</formula1>
    </dataValidation>
    <dataValidation type="list" allowBlank="1" showInputMessage="1" showErrorMessage="1" promptTitle="Tidak Lanjut Pemdes Pendampingan" prompt="0: Tidak Ada Pendampingan dari Luar_x000a_1: Tidak ada Tindak Lanjut dari Pemdes_x000a_2: Ada Tindak Lanjut dari Pemdes" sqref="H1529" xr:uid="{00000000-0002-0000-0100-000065020000}">
      <formula1>"0,1,2"</formula1>
    </dataValidation>
    <dataValidation type="list" allowBlank="1" showInputMessage="1" showErrorMessage="1" promptTitle="Buku Kader Pdampingn &amp; Pbrdayaan" prompt="Diisi_x000a_Tidak Diisi" sqref="H2180" xr:uid="{00000000-0002-0000-0100-000066020000}">
      <formula1>IF($H$2175="Belum",Tidak_Diisi,Diisi)</formula1>
    </dataValidation>
    <dataValidation type="decimal" operator="lessThanOrEqual" allowBlank="1" showInputMessage="1" showErrorMessage="1" promptTitle="Total Produksi Panen dalam 1 Thn" prompt="Sebutkan (Ton Per Tahun)" sqref="H1019" xr:uid="{00000000-0002-0000-0100-000067020000}">
      <formula1>IF(H960="tidak ada",0,25000)</formula1>
    </dataValidation>
    <dataValidation allowBlank="1" showInputMessage="1" showErrorMessage="1" promptTitle="Nomor Peraturan Pembentuk" prompt=" _x000a_" sqref="H1586 H1560 H1550" xr:uid="{00000000-0002-0000-0100-000068020000}"/>
    <dataValidation type="decimal" operator="lessThanOrEqual" allowBlank="1" showInputMessage="1" showErrorMessage="1" promptTitle="Jarak Bidan Terdekat" prompt="(Meter)" sqref="H579" xr:uid="{00000000-0002-0000-0100-000069020000}">
      <formula1>300000</formula1>
    </dataValidation>
    <dataValidation type="list" operator="lessThanOrEqual" showInputMessage="1" showErrorMessage="1" promptTitle="Terdapat Litang/ Kelenteng" prompt="Keterangan:_x000a_0 : Tidak Ada_x000a_1 : Ada" sqref="H791" xr:uid="{00000000-0002-0000-0100-00006A020000}">
      <formula1>"0,1"</formula1>
    </dataValidation>
    <dataValidation type="whole" operator="lessThanOrEqual" allowBlank="1" showInputMessage="1" showErrorMessage="1" errorTitle="PERHATIKAN JUMLAH PENDUDUK" error="CEK JUMLAH PENDUDUK DI DESA, Tidak dapat Melebihi Jumlah Penduduk. Tidak Terdapat Tambang Golongan C Lainnya_x000a_(Hanya diInput Angka)" promptTitle="Jlh Naker Lokal Tambang Gol C " prompt=" (Diisi Angka)" sqref="H388" xr:uid="{00000000-0002-0000-0100-00006B020000}">
      <formula1>IF(H384="tidak ada",0,$H$493)</formula1>
    </dataValidation>
    <dataValidation type="decimal" operator="lessThanOrEqual" allowBlank="1" showInputMessage="1" showErrorMessage="1" promptTitle="Total Produksi Panen dalam 1 Thn" prompt="Sebutkan (Ton Per Tahun)" sqref="H979" xr:uid="{00000000-0002-0000-0100-00006C020000}">
      <formula1>IF(H960="tidak ada",0,25000)</formula1>
    </dataValidation>
    <dataValidation type="decimal" operator="lessThanOrEqual" allowBlank="1" showInputMessage="1" showErrorMessage="1" promptTitle="Waktu Tempuh" prompt="Diukur dari Kantor Desa atau Pusat Keramaian_x000a_Menggunakan Kendaraan Bermotor" sqref="H584" xr:uid="{00000000-0002-0000-0100-00006E020000}">
      <formula1>1200</formula1>
    </dataValidation>
    <dataValidation type="whole" allowBlank="1" showInputMessage="1" showErrorMessage="1" error="Tidak Terdapat Panti Asuhan diisi 0._x000a_Max 24 kali/tahun" promptTitle="Jlh Frek Panti Asuhan" prompt="(Kali/Thn)" sqref="H743" xr:uid="{00000000-0002-0000-0100-00006F020000}">
      <formula1>0</formula1>
      <formula2>IF(H742=0,0,24)</formula2>
    </dataValidation>
    <dataValidation type="list" allowBlank="1" showInputMessage="1" showErrorMessage="1" promptTitle="Tidak Lanjut Pemdes Pendampingan" prompt="0: Tidak Ada_x000a_1: Ya" sqref="H1536:H1538 H1531" xr:uid="{00000000-0002-0000-0100-000070020000}">
      <formula1>"0,1"</formula1>
    </dataValidation>
    <dataValidation type="whole" allowBlank="1" showInputMessage="1" showErrorMessage="1" error="Tidak Terdapat Perkumpulan Agama._x000a_Max 24 kali/tahun" promptTitle="Jlh Frek P'kumpulan Agama" prompt="(Kali/Thn)" sqref="H741" xr:uid="{00000000-0002-0000-0100-000071020000}">
      <formula1>0</formula1>
      <formula2>IF(H740=0,0,24)</formula2>
    </dataValidation>
    <dataValidation type="list" allowBlank="1" showInputMessage="1" showErrorMessage="1" promptTitle="Hutan Negara dikelola Tahura" prompt="Ada_x000a_Tidak Ada" sqref="H255" xr:uid="{00000000-0002-0000-0100-000072020000}">
      <formula1>"Ada, Tidak Ada"</formula1>
    </dataValidation>
    <dataValidation type="list" operator="lessThanOrEqual" allowBlank="1" showInputMessage="1" showErrorMessage="1" promptTitle="Tujuan Pasar Hasil Panen " prompt="Domestik (Dalam Negeri)_x000a_Ekspor (Luar Negeri)_x000a__x000a_" sqref="H423" xr:uid="{00000000-0002-0000-0100-000073020000}">
      <formula1>IF(H398="Tidak ada",Tidak_Ada,Pasar)</formula1>
    </dataValidation>
    <dataValidation type="list" showInputMessage="1" showErrorMessage="1" promptTitle="Internet Kantor Desa" prompt="Terdapat fasilitas internet di kantor kepala Desa_x000a_0: Tidak_x000a_1: Ya" sqref="H944" xr:uid="{00000000-0002-0000-0100-000074020000}">
      <formula1>"0,1"</formula1>
    </dataValidation>
    <dataValidation type="list" allowBlank="1" showInputMessage="1" showErrorMessage="1" promptTitle="Upaya Pelestarian Lingkungan" prompt="1: Tidak ada_x000a_3: Terdapat hanya 1 kearifan lingkungan yang dijaga/ dipertahankan/ dilestarikan_x000a_5: Terdapat lebih dari 1 kearifan lingkungan yang dijaga/ dipertahankan/ dilestarikan" sqref="H2078" xr:uid="{00000000-0002-0000-0100-000076020000}">
      <formula1>"1,3,5"</formula1>
    </dataValidation>
    <dataValidation type="list" allowBlank="1" showInputMessage="1" showErrorMessage="1" promptTitle="Terdapat Pendapatan Asli Desa" prompt="1: Tidak Ada_x000a_5: Ada" sqref="H2230" xr:uid="{00000000-0002-0000-0100-000077020000}">
      <formula1>"1,5"</formula1>
    </dataValidation>
    <dataValidation type="decimal" allowBlank="1" showInputMessage="1" showErrorMessage="1" error="Tidak Terdapat Produk Unggulan,_x000a_Diisi 0 (Nol)" promptTitle="Luas Lahan Tanaman " prompt="(Dalam Satuan Luas Ha)_x000a_1 Km2 = 100 Ha" sqref="H1212" xr:uid="{00000000-0002-0000-0100-000078020000}">
      <formula1>0</formula1>
      <formula2>IF(H1038="Tidak Ada",0,25000)</formula2>
    </dataValidation>
    <dataValidation type="list" operator="greaterThanOrEqual" allowBlank="1" showInputMessage="1" showErrorMessage="1" promptTitle="Mayoritas alat P'ternakan Desa" prompt="1. Kandang Ternak_x000a_2. Rumah Potong  Hewan_x000a_3. Pasar Hewan_x000a_4. Alat Penetas_x000a_5. Alat Pemerah_x000a_6. Alat P'motong/P'cabut Bulu_x000a_7. Alat Cacah_x000a_8. Alat Mixer_x000a_9. Manual_x000a_10. Alat Ternak Modern Lain; 11. Alat Ternak Tradisional Lain; 12. Bukan Desa Peternakan" sqref="H1346" xr:uid="{00000000-0002-0000-0100-000079020000}">
      <formula1>"1,2,3,4,5,6,7,8,9,10,11,12"</formula1>
    </dataValidation>
    <dataValidation type="list" allowBlank="1" showInputMessage="1" showErrorMessage="1" promptTitle="Pihak Pengelola Wisata Air Terju" prompt="Tidak Ada_x000a_Pemerintah_x000a_Swasta_x000a_BUMN_x000a_BUMD_x000a_BUM Des_x000a_BUM Des Bersama_x000a_Kelompok_x000a_Pribadi_x000a_Lainnya" sqref="H154" xr:uid="{00000000-0002-0000-0100-00007A020000}">
      <formula1>IF(H152="Tidak Ada",Tidak_Ada,Pengelola_wisata)</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Lainnya" prompt="Jumlah Pekerja Lainnya Laki-Laki" sqref="H534" xr:uid="{00000000-0002-0000-0100-00007B020000}">
      <formula1>($H$511+$H$512+$H$513+$H$514+$H$515+$H$516+$H$517+$H$518+$H$519+$H$520+$H$521+$H$522+$H$523+$H$524+$H$525+$H$526+$H$527+$H$528+$H$529+$H$530+$H$531+$H$532+$H$533+$H$534+$H$535)&lt;=$H$493</formula1>
    </dataValidation>
    <dataValidation type="list" showInputMessage="1" showErrorMessage="1" promptTitle="Terdapat Penjual Agen LPG/Mita" prompt="Keterangan:_x000a_0: Tidak Ada_x000a_1: Ada" sqref="H1363" xr:uid="{00000000-0002-0000-0100-00007C020000}">
      <formula1>"0,1"</formula1>
    </dataValidation>
    <dataValidation type="list" allowBlank="1" showInputMessage="1" showErrorMessage="1" promptTitle="Rumah Singgah untuk Ibu Hamil" prompt="0: Tidak Ada_x000a_1: Ada" sqref="H599" xr:uid="{00000000-0002-0000-0100-00007D020000}">
      <formula1>IF($H$595=0,Tidak_tersedia,Tersedia)</formula1>
    </dataValidation>
    <dataValidation type="decimal" operator="lessThanOrEqual" allowBlank="1" showInputMessage="1" showErrorMessage="1" promptTitle="Total Produksi Panen dalam 1 Thn" prompt="Sebutkan (Ton Per Tahun)" sqref="H1003" xr:uid="{00000000-0002-0000-0100-00007E020000}">
      <formula1>IF(H960="tidak ada",0,25000)</formula1>
    </dataValidation>
    <dataValidation type="list" showInputMessage="1" showErrorMessage="1" promptTitle="Cara Mendapatkan Air Minum" prompt="Keterangan:_x000a_0 : Membeli_x000a_1 : Gratis_x000a_" sqref="H894" xr:uid="{00000000-0002-0000-0100-00007F020000}">
      <formula1>"0,1"</formula1>
    </dataValidation>
    <dataValidation type="list" allowBlank="1" showInputMessage="1" showErrorMessage="1" promptTitle="Pembuangan Limbah Cair RT" prompt="1: Tidak Memiliki aliran khusus/ langsung dibuang ke Tanah/Sungau/Danau/Saluran Irigasi/Laut_x000a_5: Memiliki aliran khusus (seperti Lubang khusus/Resapan, dan Lainnya)" sqref="H1886" xr:uid="{00000000-0002-0000-0100-000080020000}">
      <formula1>"1,5"</formula1>
    </dataValidation>
    <dataValidation allowBlank="1" showInputMessage="1" showErrorMessage="1" promptTitle="Nomor Perdes Pembentukan Bumdesa" prompt=" " sqref="H1450" xr:uid="{00000000-0002-0000-0100-000081020000}"/>
    <dataValidation allowBlank="1" showInputMessage="1" showErrorMessage="1" promptTitle="Kemudahan Akses ke Pasar" prompt="1: Sangat sulit_x000a_2: Sulit_x000a_3: Sedang_x000a_4: Mudah_x000a_5: Sangat Mudah" sqref="H2033" xr:uid="{00000000-0002-0000-0100-000083020000}"/>
    <dataValidation type="custom" operator="greaterThanOrEqual" allowBlank="1" showInputMessage="1" showErrorMessage="1" errorTitle="JLH PENDUDUK pd BIDANG PEKERJAAN" error="Total pendudukn Berdasarkan PEKERJAAN Harus LEBIH KECIL dari TOTAL PENDUDUK di Desa" promptTitle="Jumlah Pekerjaan Swasta" prompt="Jumlah Pekerja Swasta Laki-Laki" sqref="H521" xr:uid="{00000000-0002-0000-0100-000084020000}">
      <formula1>($H$511+$H$512+$H$513+$H$514+$H$515+$H$516+$H$517+$H$518+$H$519+$H$520+$H$521+$H$522+$H$523+$H$524+$H$525+$H$526+$H$527+$H$528+$H$529+$H$530+$H$531+$H$532+$H$533+$H$534+$H$535)&lt;=$H$493</formula1>
    </dataValidation>
    <dataValidation type="list" showInputMessage="1" showErrorMessage="1" promptTitle="Status Bumdesa di Desa" prompt="Status Bumdes di Desa_x000a_0: Tidak Aktif_x000a_1: Aktif" sqref="H1399" xr:uid="{00000000-0002-0000-0100-000085020000}">
      <formula1>IF($H$1397=0,Tidak_tersedia,Tersedia)</formula1>
    </dataValidation>
    <dataValidation type="custom" operator="greaterThanOrEqual" allowBlank="1" showInputMessage="1" showErrorMessage="1" error="ISI dengan Angka_x000a_Tidak Bisa Lebih besar dari jumlah KK" promptTitle="Jumlah KK Sumber Listrik PLN" prompt=" " sqref="H914" xr:uid="{00000000-0002-0000-0100-000086020000}">
      <formula1>($H$914+$H$915+$H$916)&lt;=$H$499</formula1>
    </dataValidation>
    <dataValidation type="list" showInputMessage="1" showErrorMessage="1" promptTitle="Tdpt Kel. Perempuan Ikut Musdes?" prompt="Keterangan:_x000a_0 : Tidak Ada_x000a_1 : Ada" sqref="H762" xr:uid="{00000000-0002-0000-0100-000087020000}">
      <formula1>IF($H$759=0,Tidak_tersedia,Tersedia)</formula1>
    </dataValidation>
    <dataValidation type="list" allowBlank="1" showInputMessage="1" showErrorMessage="1" promptTitle="Ketersidaan Dokter di Desa" prompt="0: Tidak Ada_x000a_1: Ada" sqref="H589" xr:uid="{00000000-0002-0000-0100-000089020000}">
      <formula1>"0,1"</formula1>
    </dataValidation>
    <dataValidation type="list" allowBlank="1" showInputMessage="1" showErrorMessage="1" promptTitle="Motor Layanan Bidan" prompt="Ada_x000a_Tidak Ada" sqref="H1857" xr:uid="{00000000-0002-0000-0100-00008A020000}">
      <formula1>IF($H$143=1,Tidak_Ada,Ada)</formula1>
    </dataValidation>
    <dataValidation type="whole" allowBlank="1" showInputMessage="1" showErrorMessage="1" promptTitle="Nomor Telp Kades yg Aktif" prompt="Di isi tanpa awalan angka NOL (0)_x000a_contoh:_x000a_8171234567890" sqref="H34" xr:uid="{00000000-0002-0000-0100-00008B020000}">
      <formula1>8111111111</formula1>
      <formula2>88888888888</formula2>
    </dataValidation>
    <dataValidation allowBlank="1" showInputMessage="1" showErrorMessage="1" promptTitle="Terdapat Layanan Fasilitas KUR" prompt="1: Tidak ada_x000a_5: Ada_x000a_(IDM E 536.b)" sqref="H2071" xr:uid="{00000000-0002-0000-0100-00008C020000}"/>
    <dataValidation type="decimal" operator="lessThanOrEqual" allowBlank="1" showInputMessage="1" showErrorMessage="1" promptTitle="Luas Hutan Negara di Desa" prompt="(Dalam Satuan Luas Ha)_x000a_1 Km2 = 100 Ha" sqref="H245" xr:uid="{00000000-0002-0000-0100-00008D020000}">
      <formula1>25000</formula1>
    </dataValidation>
    <dataValidation allowBlank="1" showInputMessage="1" showErrorMessage="1" promptTitle="Pihak Kelola Perkebunan Teh" prompt="Sebutkan_x000a_" sqref="H437" xr:uid="{00000000-0002-0000-0100-00008E020000}"/>
    <dataValidation type="decimal" allowBlank="1" showInputMessage="1" showErrorMessage="1" promptTitle="Total Produksi Panen dalam 1 Thn" prompt="Sebutkan (Ton Per Tahun)" sqref="H1096" xr:uid="{00000000-0002-0000-0100-00008F020000}">
      <formula1>0</formula1>
      <formula2>IF(H1038="Tidak ada",0,25000)</formula2>
    </dataValidation>
    <dataValidation type="whole" operator="lessThanOrEqual" allowBlank="1" showInputMessage="1" showErrorMessage="1" error="Tidak Terdapat Gudang Pangan Milik Pribadi di Desa._x000a_Diisi 0 (NOL)" sqref="H1374" xr:uid="{00000000-0002-0000-0100-000090020000}">
      <formula1>IF(H1372="tidak ada",0,25000)</formula1>
    </dataValidation>
    <dataValidation type="list" showInputMessage="1" showErrorMessage="1" promptTitle="TVRI" prompt="Siaran program televisi saluran TVRI Nasional dan TVRI daerah_x000a_0: Tidak_x000a_1: Ya" sqref="H941" xr:uid="{00000000-0002-0000-0100-000091020000}">
      <formula1>"0,1"</formula1>
    </dataValidation>
    <dataValidation type="whole" operator="lessThanOrEqual" allowBlank="1" showInputMessage="1" showErrorMessage="1" error="Tidak Terdapat Pasar Tanpa Bangunan di Desa._x000a_Diisi 0 (NOL)" promptTitle="Jlh Pasar Tanpa Bangunan" prompt="(Unit)" sqref="H1356" xr:uid="{00000000-0002-0000-0100-000092020000}">
      <formula1>IF(H1355=0,0,5)</formula1>
    </dataValidation>
    <dataValidation type="list" allowBlank="1" showInputMessage="1" showErrorMessage="1" promptTitle="Transportasi ke Layanan Nakes" prompt="1: Tidak Tersedia Sarana Transportasi_x000a_5: Tersedia Sarana Transportasi" sqref="H1865" xr:uid="{00000000-0002-0000-0100-000093020000}">
      <formula1>"1,5"</formula1>
    </dataValidation>
    <dataValidation type="list" allowBlank="1" showInputMessage="1" showErrorMessage="1" promptTitle="Terdapat Produk Unggulan Sorgum" prompt="Ada_x000a_Tidak Ada" sqref="H1016" xr:uid="{00000000-0002-0000-0100-000094020000}">
      <formula1>"Ada, Tidak Ada"</formula1>
    </dataValidation>
    <dataValidation type="list" allowBlank="1" showInputMessage="1" showErrorMessage="1" promptTitle="Pihak Pendampingan Wisata Sungai" prompt="Tidak Ada_x000a_Pemerintah_x000a_BUMN_x000a_BUMD_x000a_Swasta (CSR)_x000a_Akademisi_x000a_Lainnya" sqref="H149" xr:uid="{00000000-0002-0000-0100-000095020000}">
      <formula1>IF(H145="tidak ada",Tidak_Ada,Pendamping_wisata)</formula1>
    </dataValidation>
    <dataValidation type="list" allowBlank="1" showInputMessage="1" showErrorMessage="1" promptTitle="Buku Agenda" prompt="Diisi_x000a_Tidak Diisi" sqref="H2157" xr:uid="{00000000-0002-0000-0100-000096020000}">
      <formula1>IF($H$2150="Belum",Tidak_Diisi,Diisi)</formula1>
    </dataValidation>
    <dataValidation type="list" showInputMessage="1" showErrorMessage="1" promptTitle="Ada Tidaknya" prompt="Keterangan:_x000a_0 : Tidak Ada_x000a_1 : Ada" sqref="H730" xr:uid="{00000000-0002-0000-0100-000097020000}">
      <formula1>IF($H$729=0,Tidak_tersedia,Tersedia)</formula1>
    </dataValidation>
    <dataValidation type="decimal" allowBlank="1" showInputMessage="1" showErrorMessage="1" error="Tidak Terdapat Produk Unggulan,_x000a_Diisi 0 (Nol)" promptTitle="Luas Lahan Tanaman " prompt="(Dalam Satuan Luas Ha)_x000a_1 Km2 = 100 Ha" sqref="H1150" xr:uid="{00000000-0002-0000-0100-000098020000}">
      <formula1>0</formula1>
      <formula2>IF(H1038="Tidak Ada",0,25000)</formula2>
    </dataValidation>
    <dataValidation allowBlank="1" showInputMessage="1" showErrorMessage="1" promptTitle="Nama Bumdesa Bersama" prompt=" " sqref="H1401" xr:uid="{00000000-0002-0000-0100-000099020000}"/>
    <dataValidation allowBlank="1" showInputMessage="1" showErrorMessage="1" promptTitle="Pihak Kelola Perkebunan Kopi" prompt="Sebutkan_x000a_" sqref="H428" xr:uid="{00000000-0002-0000-0100-00009A020000}"/>
    <dataValidation operator="greaterThanOrEqual" allowBlank="1" showInputMessage="1" showErrorMessage="1" promptTitle="TOTAL APBDES TAHUN 2023" prompt="Sudah Terhitung secara Otomatis" sqref="H1608" xr:uid="{00000000-0002-0000-0100-00009B020000}"/>
    <dataValidation type="list" allowBlank="1" showInputMessage="1" showErrorMessage="1" promptTitle="Terdapat Kasi Kesejahteraan" prompt="Ada_x000a_Tidak Ada" sqref="H56" xr:uid="{00000000-0002-0000-0100-00009C020000}">
      <formula1>"Ada, Tidak Ada"</formula1>
    </dataValidation>
    <dataValidation allowBlank="1" showInputMessage="1" showErrorMessage="1" promptTitle="Pengelola Wisata Buatan Lainnya" prompt="Sebutkan" sqref="H200" xr:uid="{00000000-0002-0000-0100-00009D020000}"/>
    <dataValidation type="list" showInputMessage="1" showErrorMessage="1" promptTitle="Tdapat Bumdesa Jasa Penyewaan" prompt="Terdapat Bumdesa Jasa Penyewaan Bisinis Peralatan_x000a_0: Tidak Ada_x000a_1: Ada" sqref="H1413" xr:uid="{00000000-0002-0000-0100-00009E020000}">
      <formula1>IF($H$1409=0,Tidak_tersedia,Tersedia)</formula1>
    </dataValidation>
    <dataValidation type="list" allowBlank="1" showInputMessage="1" showErrorMessage="1" promptTitle="Tersedia PLD" prompt="Ketersediaan pendamping Lokal Desa di Desa_x000a_0: Tidak Ada_x000a_1: Ada" sqref="H1503" xr:uid="{00000000-0002-0000-0100-00009F020000}">
      <formula1>"0,1"</formula1>
    </dataValidation>
    <dataValidation type="whole" allowBlank="1" showInputMessage="1" showErrorMessage="1" promptTitle="Nomor Telp Kasi Kesejahteraan" prompt="Di isi tanpa awalan angka NOL (0)_x000a_contoh:_x000a_8171234567890" sqref="H58" xr:uid="{00000000-0002-0000-0100-0000A0020000}">
      <formula1>8111111111</formula1>
      <formula2>88888888888</formula2>
    </dataValidation>
    <dataValidation type="list" allowBlank="1" showInputMessage="1" showErrorMessage="1" promptTitle="Modil Pribadi Layanan Nakes" prompt="Ada_x000a_Tidak Ada" sqref="H1868" xr:uid="{00000000-0002-0000-0100-0000A1020000}">
      <formula1>IF($H$155=1,Tidak_Ada,Ada)</formula1>
    </dataValidation>
    <dataValidation type="list" allowBlank="1" showInputMessage="1" showErrorMessage="1" promptTitle="Mobil Pribadi layanan Dokter" prompt="Ada_x000a_Tidak Ada" sqref="H1838" xr:uid="{00000000-0002-0000-0100-0000A2020000}">
      <formula1>IF($H$125=1,Tidak_Ada,Ada)</formula1>
    </dataValidation>
    <dataValidation type="list" allowBlank="1" showInputMessage="1" showErrorMessage="1" promptTitle="Buku Mutasi Penduduk" prompt="Diisi_x000a_Tidak Diisi" sqref="H2163" xr:uid="{00000000-0002-0000-0100-0000A3020000}">
      <formula1>IF($H$2160="Belum",Tidak_Diisi,Diisi)</formula1>
    </dataValidation>
    <dataValidation type="whole" operator="lessThanOrEqual" allowBlank="1" showInputMessage="1" showErrorMessage="1" promptTitle="Jlh KK Manfaatkn Energi Matahari" prompt=" " sqref="H918" xr:uid="{00000000-0002-0000-0100-0000A4020000}">
      <formula1>$H$499</formula1>
    </dataValidation>
    <dataValidation type="whole" operator="lessThanOrEqual" allowBlank="1" showInputMessage="1" showErrorMessage="1" errorTitle="PERHATIKAN JUMLAH PENDUDUK" error="CEK JUMLAH PENDUDUK DI DESA, Tidak dapat Melebihi Jumlah Penduduk._x000a_Tidak Terdapat Tambang Bauksit_x000a_(Hanya diInput Angka)" promptTitle="Jlh Naker Tambang Bauksit" prompt=" (Diisi Angka)" sqref="H306" xr:uid="{00000000-0002-0000-0100-0000A6020000}">
      <formula1>IF(H304="tidak ada",0,$H$493)</formula1>
    </dataValidation>
    <dataValidation type="list" allowBlank="1" showInputMessage="1" showErrorMessage="1" promptTitle="Pengguna Bagi Hasil" prompt="0: Tidak Ada_x000a_1: Pemberdayaan Masyarakat_x000a_2: Pembangunan_x000a_3: Pemerintahan_x000a_4: Budaya/ Agama_x000a_5: Olahraga_x000a_6: Lainnya" sqref="H1589" xr:uid="{00000000-0002-0000-0100-0000A7020000}">
      <formula1>"0,1,2,3,4,5,6"</formula1>
    </dataValidation>
    <dataValidation type="list" showInputMessage="1" showErrorMessage="1" promptTitle="Tersedianya POS" prompt="Terdapat kantor pos / pos pembantu / rumah pos / pos keliling di Desa_x000a_0: Tidak Ada_x000a_1: Ada" sqref="H1367" xr:uid="{00000000-0002-0000-0100-0000A8020000}">
      <formula1>"0,1"</formula1>
    </dataValidation>
    <dataValidation type="list" allowBlank="1" showInputMessage="1" showErrorMessage="1" promptTitle="Status Jabatan Kepala Desa" prompt="Definitif_x000a_Penjabat" sqref="H32" xr:uid="{00000000-0002-0000-0100-0000A9020000}">
      <formula1>"Definitif, Penjabat"</formula1>
    </dataValidation>
    <dataValidation type="list" allowBlank="1" showInputMessage="1" showErrorMessage="1" promptTitle="Terdapat Kawasan Hutan" prompt="Ada_x000a_Tidak Ada" sqref="H242" xr:uid="{00000000-0002-0000-0100-0000AA020000}">
      <formula1>"Ada, Tidak Ada"</formula1>
    </dataValidation>
    <dataValidation type="list" allowBlank="1" showInputMessage="1" showErrorMessage="1" promptTitle="Jaringan Internet Telkomsel" prompt="Tidak Ada_x000a_2G/ 2.5G/ GPRS/ EDGE_x000a_3G/ 3.5G/ HSDPA/ EVDO_x000a_4G LTE_x000a_5G" sqref="H933" xr:uid="{00000000-0002-0000-0100-0000AB020000}">
      <formula1>IF($H$932=0,Tidak_Ada,sinyal)</formula1>
    </dataValidation>
    <dataValidation type="list" operator="greaterThanOrEqual" showInputMessage="1" showErrorMessage="1" promptTitle="Info APBDes (Musdes)" prompt="0: Tidak_x000a_1: Ya" sqref="H1622" xr:uid="{00000000-0002-0000-0100-0000AC020000}">
      <formula1>"0,1"</formula1>
    </dataValidation>
    <dataValidation type="whole" operator="lessThanOrEqual" allowBlank="1" showInputMessage="1" showErrorMessage="1" errorTitle="PERHATIKAN JUMLAH PENDUDUK" error="CEK JUMLAH PENDUDUK DI DESA, Tidak dapat Melebihi Jumlah Penduduk. Tidak Terdapat Tambang Perak_x000a_(Hanya diInput Angka)" promptTitle="Jlh Naker Lokal Tambang Perak" prompt=" (Diisi Angka)" sqref="H331" xr:uid="{00000000-0002-0000-0100-0000AD020000}">
      <formula1>IF(H328="tidak ada",0,$H$493)</formula1>
    </dataValidation>
    <dataValidation allowBlank="1" showInputMessage="1" showErrorMessage="1" promptTitle="Sumber Air Minum dari Air Hujan" prompt="Ada_x000a_Tidak Ada_x000a_(IDM S 390.h)" sqref="H1892" xr:uid="{00000000-0002-0000-0100-0000AE020000}"/>
    <dataValidation type="list" showInputMessage="1" showErrorMessage="1" promptTitle="BPR" prompt="Terdapat BPR di Desa_x000a_0: Tidak Ada_x000a_1: Ada" sqref="H1389" xr:uid="{00000000-0002-0000-0100-0000AF020000}">
      <formula1>"0,1"</formula1>
    </dataValidation>
    <dataValidation allowBlank="1" showInputMessage="1" showErrorMessage="1" promptTitle="Ketersediaan Kedai/ Rumah Makan" prompt="1: Tidak ada_x000a_5: Ada_x000a_(IDM E 522)" sqref="H2041" xr:uid="{00000000-0002-0000-0100-0000B0020000}"/>
    <dataValidation type="list" allowBlank="1" showInputMessage="1" showErrorMessage="1" promptTitle="Terdapat Peta Desa dari Bupati" prompt="0: Tidak Ada_x000a_1: Ada" sqref="H30" xr:uid="{00000000-0002-0000-0100-0000B1020000}">
      <formula1>"0,1"</formula1>
    </dataValidation>
    <dataValidation type="list" allowBlank="1" showInputMessage="1" showErrorMessage="1" promptTitle="Terdapat Tambang Aspal" prompt="Ada_x000a_Tidak Ada" sqref="H278" xr:uid="{00000000-0002-0000-0100-0000B2020000}">
      <formula1>"Ada, Tidak Ada"</formula1>
    </dataValidation>
    <dataValidation type="whole" operator="lessThanOrEqual" allowBlank="1" showInputMessage="1" showErrorMessage="1" errorTitle="PERHATIKAN JUMLAH PENDUDUK" error="CEK JUMLAH PENDUDUK DI DESA, Tidak dapat Melebihi Jumlah Penduduk. Tidak Terdapat Tambang Gas Alam_x000a_(Hanya diInput Angka)" promptTitle="Jlh Naker Lokal Tambang Gas Alam" prompt=" (Diisi Angka)" sqref="H275" xr:uid="{00000000-0002-0000-0100-0000B3020000}">
      <formula1>IF(H272="tidak ada",0,$H$493)</formula1>
    </dataValidation>
    <dataValidation type="decimal" operator="lessThanOrEqual" allowBlank="1" showInputMessage="1" showErrorMessage="1" promptTitle="Luas Lahan Tanaman " prompt="(Dalam Satuan Luas Ha)_x000a_1 Km2 = 100 Ha" sqref="H1196" xr:uid="{00000000-0002-0000-0100-0000B4020000}">
      <formula1>25000</formula1>
    </dataValidation>
    <dataValidation type="list" allowBlank="1" showInputMessage="1" showErrorMessage="1" promptTitle="Faslitas Tanggap Darurat Bencana" prompt="1: Tidak tersedia titik evakuasi, pos keamanan bencana dan alat kesiapsiagaan bencana_x000a_5: Tersedia titik evakuasi, pos keamanan bencana dan alat kesiapsiagaan bencana" sqref="H2118" xr:uid="{00000000-0002-0000-0100-0000B5020000}">
      <formula1>"1,5"</formula1>
    </dataValidation>
    <dataValidation type="list" showInputMessage="1" showErrorMessage="1" promptTitle="Terdapat Kelompok Arisan?" prompt="Keterangan:_x000a_0 : Tidak Ada_x000a_1 : Ada" sqref="H744" xr:uid="{00000000-0002-0000-0100-0000B6020000}">
      <formula1>"0,1"</formula1>
    </dataValidation>
    <dataValidation type="decimal" allowBlank="1" showInputMessage="1" showErrorMessage="1" error="Tidak Terdapat Produk Unggulan,_x000a_Diisi 0 (Nol)" promptTitle="Total Produksi Panen dalam 1 Thn" prompt="Sebutkan (Ton Per Tahun)" sqref="H1292" xr:uid="{00000000-0002-0000-0100-0000B7020000}">
      <formula1>0</formula1>
      <formula2>IF(LEN(H1274)&lt;3,0,25000)</formula2>
    </dataValidation>
    <dataValidation type="list" allowBlank="1" showInputMessage="1" showErrorMessage="1" promptTitle="Status kelola Tambang Pasir Batu" prompt="Tidak Ada_x000a_Pemerintah_x000a_BUMN_x000a_BUMD_x000a_Swasta_x000a_Perorangan_x000a_Lainnya" sqref="H364" xr:uid="{00000000-0002-0000-0100-0000B9020000}">
      <formula1>IF($H360="tidak ada",Tidak_Ada,Tambang)</formula1>
    </dataValidation>
    <dataValidation type="list" allowBlank="1" showInputMessage="1" showErrorMessage="1" promptTitle="HutanNegara kelola Swasta/IUPHAK" prompt="Ada_x000a_Tidak Ada" sqref="H250" xr:uid="{00000000-0002-0000-0100-0000BA020000}">
      <formula1>"Ada, Tidak Ada"</formula1>
    </dataValidation>
    <dataValidation type="whole" operator="lessThanOrEqual" allowBlank="1" showInputMessage="1" showErrorMessage="1" promptTitle="Jumlah Fasilitas Olahraga" prompt="Terhitung secara Otomatis" sqref="H766" xr:uid="{00000000-0002-0000-0100-0000BB020000}">
      <formula1>10</formula1>
    </dataValidation>
    <dataValidation type="list" allowBlank="1" showInputMessage="1" showErrorMessage="1" promptTitle="Trayek Tranportasi Bentor" prompt="Ada_x000a_Tidak Ada" sqref="H2141" xr:uid="{00000000-0002-0000-0100-0000BC020000}">
      <formula1>"Ada, Tidak Ada"</formula1>
    </dataValidation>
    <dataValidation type="whole" operator="lessThanOrEqual" allowBlank="1" showInputMessage="1" showErrorMessage="1" promptTitle="Waktu Tempuh SMU/MA/SMK T'dekat" prompt=" " sqref="H686" xr:uid="{00000000-0002-0000-0100-0000BD020000}">
      <formula1>480</formula1>
    </dataValidation>
    <dataValidation type="decimal" allowBlank="1" showInputMessage="1" showErrorMessage="1" promptTitle="Total Produksi Panen dalam 1 Thn" prompt="Sebutkan (Ton Per Tahun)" sqref="H1129" xr:uid="{00000000-0002-0000-0100-0000BE020000}">
      <formula1>0</formula1>
      <formula2>IF(H1038="Tidak ada",0,25000)</formula2>
    </dataValidation>
    <dataValidation type="whole" allowBlank="1" showInputMessage="1" showErrorMessage="1" promptTitle="Total Kepala Keluarga di Desa" prompt=" " sqref="H499" xr:uid="{00000000-0002-0000-0100-0000BF020000}">
      <formula1>10</formula1>
      <formula2>90000</formula2>
    </dataValidation>
    <dataValidation type="list" allowBlank="1" showInputMessage="1" showErrorMessage="1" promptTitle="Transportasi ke Pos dan Logistik" prompt="Ada_x000a_Tidak Ada" sqref="H2056" xr:uid="{00000000-0002-0000-0100-0000C0020000}">
      <formula1>"Ada, Tidak Ada"</formula1>
    </dataValidation>
    <dataValidation allowBlank="1" showInputMessage="1" showErrorMessage="1" promptTitle="Aktivitas Wisata Hutan" prompt="Contoh:_x000a_Observasi, Berkemah, Berburu" sqref="H139" xr:uid="{00000000-0002-0000-0100-0000C1020000}"/>
    <dataValidation type="decimal" allowBlank="1" showInputMessage="1" showErrorMessage="1" promptTitle="Total Produksi Panen dalam 1 Thn" prompt="Sebutkan (Ton Per Tahun)" sqref="H1062" xr:uid="{00000000-0002-0000-0100-0000C2020000}">
      <formula1>0</formula1>
      <formula2>IF(H1038="Tidak ada",0,25000)</formula2>
    </dataValidation>
    <dataValidation type="list" allowBlank="1" showInputMessage="1" showErrorMessage="1" promptTitle="Terdapat Keg OR Basket" prompt="1. Tidak terdapat Kegiatan_x000a_2. Terdapat 1 Kali Kegiatan_x000a_3. Terdapat 2-3 Kali Kegiatan_x000a_4. Terdapat 4-5 Kali Kegiatan_x000a_5. Terdapat &gt;5 Kali Kegiatan" sqref="H1947" xr:uid="{00000000-0002-0000-0100-0000C3020000}">
      <formula1>"1,2,3,4,5"</formula1>
    </dataValidation>
    <dataValidation type="decimal" allowBlank="1" showInputMessage="1" showErrorMessage="1" error="Tidak Terdapat Produk Unggulan,_x000a_Diisi 0 (Nol)" promptTitle="Luas Lahan Tanaman " prompt="(Dalam Satuan Luas Ha)_x000a_1 Km2 = 100 Ha" sqref="H1101" xr:uid="{00000000-0002-0000-0100-0000C4020000}">
      <formula1>0</formula1>
      <formula2>IF(H1038="Tidak Ada",0,25000)</formula2>
    </dataValidation>
    <dataValidation type="list" showInputMessage="1" showErrorMessage="1" promptTitle="Tdapat Bumdesa Keuangan" prompt="Terdapat Bumdesa Keuangan Bidang Koperasi _x000a_0: Tidak Ada_x000a_1: Ada" sqref="H1429" xr:uid="{00000000-0002-0000-0100-0000C5020000}">
      <formula1>IF($H$1422=0,Tidak_tersedia,Tersedia)</formula1>
    </dataValidation>
    <dataValidation type="decimal" allowBlank="1" showInputMessage="1" showErrorMessage="1" error="Tidak Terdapat Produk Unggulan,_x000a_Diisi 0 (Nol)" promptTitle="Luas Lahan Tanaman " prompt="(Dalam Satuan Luas Ha)_x000a_1 Km2 = 100 Ha" sqref="H1159" xr:uid="{00000000-0002-0000-0100-0000C6020000}">
      <formula1>0</formula1>
      <formula2>IF(H1038="Tidak Ada",0,25000)</formula2>
    </dataValidation>
    <dataValidation type="decimal" allowBlank="1" showInputMessage="1" showErrorMessage="1" error="Tidak Terdapat Produk Unggulan,_x000a_Diisi 0 (Nol)" promptTitle="Total Produksi Panen dalam 1 Thn" prompt="Sebutkan (Ton Per Tahun)" sqref="H1278" xr:uid="{00000000-0002-0000-0100-0000C7020000}">
      <formula1>0</formula1>
      <formula2>IF(LEN(H1274)&lt;3,0,25000)</formula2>
    </dataValidation>
    <dataValidation allowBlank="1" showInputMessage="1" showErrorMessage="1" promptTitle="Nama Lengkap Kaur Perencanaan" prompt=" " sqref="H74" xr:uid="{00000000-0002-0000-0100-0000C9020000}"/>
    <dataValidation type="list" allowBlank="1" showInputMessage="1" showErrorMessage="1" promptTitle="Terdapat Tambang Tanah Liat" prompt="Ada_x000a_Tidak Ada" sqref="H348" xr:uid="{00000000-0002-0000-0100-0000CA020000}">
      <formula1>"Ada, Tidak Ada"</formula1>
    </dataValidation>
    <dataValidation type="whole" operator="lessThanOrEqual" allowBlank="1" showInputMessage="1" showErrorMessage="1" errorTitle="PERHATIKAN JUMLAH PENDUDUK" error="CEK JUMLAH PENDUDUK DI DESA, Tidak dapat Melebihi Jumlah Penduduk. Tidak Terdapat Tambang Batu Kali_x000a_(Hanya diInput Angka)" promptTitle="Jlh Naker Lokal Tambang Bt Kali" prompt=" (Diisi Angka)" sqref="H375" xr:uid="{00000000-0002-0000-0100-0000CB020000}">
      <formula1>IF(H372="tidak ada",0,$H$493)</formula1>
    </dataValidation>
    <dataValidation type="list" allowBlank="1" showInputMessage="1" showErrorMessage="1" promptTitle="T'dapat Gotong Royong Lingkungan" prompt="Ada_x000a_Tidak Ada" sqref="H1938" xr:uid="{00000000-0002-0000-0100-0000CC020000}">
      <formula1>"Ada, Tidak Ada"</formula1>
    </dataValidation>
    <dataValidation allowBlank="1" showInputMessage="1" showErrorMessage="1" promptTitle="Jenis Perkebunan Lainnya" prompt="Sebutkan_x000a_" sqref="H471" xr:uid="{00000000-0002-0000-0100-0000CD020000}"/>
    <dataValidation type="list" allowBlank="1" showInputMessage="1" showErrorMessage="1" promptTitle="PMKS Pekerja Migran Terlantar" prompt="Keterangan:_x000a_0 : Tidak Ada_x000a_1 : Ada" sqref="H860" xr:uid="{00000000-0002-0000-0100-0000CE020000}">
      <formula1>"0,1"</formula1>
    </dataValidation>
    <dataValidation type="list" allowBlank="1" showInputMessage="1" showErrorMessage="1" promptTitle="Motor Layanan Nakes" prompt="Ada_x000a_Tidak Ada" sqref="H1869" xr:uid="{00000000-0002-0000-0100-0000CF020000}">
      <formula1>IF($H$155=1,Tidak_Ada,Ada)</formula1>
    </dataValidation>
    <dataValidation type="list" allowBlank="1" showInputMessage="1" showErrorMessage="1" promptTitle="Terdapat Konflik Antar Suku" prompt="Ada_x000a_Tidak Ada" sqref="H1966" xr:uid="{00000000-0002-0000-0100-0000D0020000}">
      <formula1>IF($H$1954="Tidak Ada",Tidak_Ada,Ada)</formula1>
    </dataValidation>
    <dataValidation type="decimal" allowBlank="1" showInputMessage="1" showErrorMessage="1" promptTitle="Total Produksi Panen dalam 1 Thn" prompt="Sebutkan (Ton Per Tahun)" sqref="H1246" xr:uid="{00000000-0002-0000-0100-0000D1020000}">
      <formula1>0</formula1>
      <formula2>IF(H1038="Tidak ada",0,25000)</formula2>
    </dataValidation>
    <dataValidation type="whole" allowBlank="1" showInputMessage="1" showErrorMessage="1" error="Tidak terdapat konflik lahan" promptTitle="Jlh Konflik dengan Aparat" prompt="Jlh konflik dengan Aparat Pemerintah Terkait Lahan" sqref="H818" xr:uid="{00000000-0002-0000-0100-0000D2020000}">
      <formula1>0</formula1>
      <formula2>IF(H814=0,0,50)</formula2>
    </dataValidation>
    <dataValidation type="list" allowBlank="1" showInputMessage="1" showErrorMessage="1" promptTitle="Terdapat Perkebunan Tebu" prompt="Ada_x000a_Tidak Ada" sqref="H452" xr:uid="{00000000-0002-0000-0100-0000D3020000}">
      <formula1>"Ada, Tidak Ada"</formula1>
    </dataValidation>
    <dataValidation type="list" allowBlank="1" showInputMessage="1" showErrorMessage="1" promptTitle="Jenis Kelamin Sekretaris Desa" prompt="Laki- Laki_x000a_Perempuan" sqref="H50" xr:uid="{00000000-0002-0000-0100-0000D4020000}">
      <formula1>"Laki-Laki, Perempuan"</formula1>
    </dataValidation>
    <dataValidation allowBlank="1" showInputMessage="1" showErrorMessage="1" promptTitle="Nama Bumdesa" prompt=" " sqref="H1398" xr:uid="{00000000-0002-0000-0100-0000D5020000}"/>
    <dataValidation type="whole" operator="greaterThanOrEqual" allowBlank="1" showInputMessage="1" showErrorMessage="1" promptTitle="Jumlah Pekerjaan Lainnya" prompt="Terhitung secara Otomatis" sqref="H536" xr:uid="{00000000-0002-0000-0100-0000D6020000}">
      <formula1>0</formula1>
    </dataValidation>
    <dataValidation type="list" allowBlank="1" showInputMessage="1" showErrorMessage="1" promptTitle="Tersedia Transportasi ke Toko" prompt="Ada_x000a_Tidak Ada" sqref="H2038" xr:uid="{00000000-0002-0000-0100-0000D7020000}">
      <formula1>"Ada, Tidak Ada"</formula1>
    </dataValidation>
    <dataValidation type="textLength" operator="equal" allowBlank="1" showInputMessage="1" showErrorMessage="1" error="KODE KABUPATEN 4 DIGIT" promptTitle="Permendagri Tahun 2022" prompt="Permendagri No.100.1.1-6117 Tahun 2022" sqref="H21" xr:uid="{00000000-0002-0000-0100-0000D8020000}">
      <formula1>4</formula1>
    </dataValidation>
    <dataValidation type="list" showInputMessage="1" showErrorMessage="1" promptTitle="Tdapat Bumdesa Perdagangan" prompt="Terdapat Bumdesa Perdagangan_x000a_0: Tidak Ada_x000a_1: Ada" sqref="H1414" xr:uid="{00000000-0002-0000-0100-0000D9020000}">
      <formula1>IF(H$1397=0,Tidak_tersedia,Tersedia)</formula1>
    </dataValidation>
    <dataValidation type="list" allowBlank="1" showInputMessage="1" showErrorMessage="1" promptTitle="Unggulan 1 Obat Pasar Ekspor" prompt="-, Jahe, Jahe Merah, Kunyit, Kunyit Putih, Lengkuas/Laos, Kencur, Temulawak, Lidah Buaya, Kumis Kucing, Kemangi, Sirih, Ketumbar, Sambiloto, Gingko Giloba, Bangle, Mengkudu, Kayu Manis, Jintan Hitam, Kapulaga, Sereh, Lainnya" sqref="H1324" xr:uid="{00000000-0002-0000-0100-0000DA020000}">
      <formula1>$K$1207:$K$1228</formula1>
    </dataValidation>
    <dataValidation allowBlank="1" showInputMessage="1" showErrorMessage="1" promptTitle="Air Minum dr Pegunungan/Mata Air" prompt="Ada_x000a_Tidak Ada_x000a_(IDM S 3903.f)" sqref="H1893" xr:uid="{00000000-0002-0000-0100-0000DB020000}"/>
    <dataValidation type="custom" operator="greaterThanOrEqual" allowBlank="1" showInputMessage="1" showErrorMessage="1" errorTitle="JLH PENDUDUK pd BIDANG PEKERJAAN" error="Total pendudukn Berdasarkan PEKERJAAN Harus LEBIH KECIL dari TOTAL PENDUDUK di Desa" promptTitle="Jumlah Pekerjaan Nelayan" prompt="Jumlah Pekerja Nelayan Laki-Laki" sqref="H513" xr:uid="{00000000-0002-0000-0100-0000DC020000}">
      <formula1>($H$511+$H$512+$H$513+$H$514+$H$515+$H$516+$H$517+$H$518+$H$519+$H$520+$H$521+$H$522+$H$523+$H$524+$H$525+$H$526+$H$527+$H$528+$H$529+$H$530+$H$531+$H$532+$H$533+$H$534+$H$535)&lt;=$H$493</formula1>
    </dataValidation>
    <dataValidation allowBlank="1" showInputMessage="1" showErrorMessage="1" promptTitle="Kemudahan Akses ke Penginapan" prompt="1: Sangat sulit_x000a_2: Sulit_x000a_3: Sedang_x000a_4: Mudah_x000a_5: Sangat Mudah" sqref="H2051" xr:uid="{00000000-0002-0000-0100-0000DD020000}"/>
    <dataValidation type="whole" allowBlank="1" showInputMessage="1" showErrorMessage="1" sqref="H1862" xr:uid="{00000000-0002-0000-0100-0000DE020000}">
      <formula1>0</formula1>
      <formula2>50</formula2>
    </dataValidation>
    <dataValidation type="decimal" allowBlank="1" showInputMessage="1" showErrorMessage="1" promptTitle="Total Produksi Panen dalam 1 Thn" prompt="Sebutkan (Ton Per Tahun)" sqref="H1258" xr:uid="{00000000-0002-0000-0100-0000E1020000}">
      <formula1>0</formula1>
      <formula2>IF(H1038="Tidak ada",0,25000)</formula2>
    </dataValidation>
    <dataValidation type="decimal" operator="lessThanOrEqual" allowBlank="1" showInputMessage="1" showErrorMessage="1" error="Tidak dapat Perkebunan Karet_x000a_Diisi 0 (NOL)" promptTitle="Luas Area Perkebunan Karet" prompt="(Dalam Satuan Luas Ha)_x000a_1 Km2 = 100 Ha" sqref="H399" xr:uid="{00000000-0002-0000-0100-0000E2020000}">
      <formula1>IF(H398="Tidak ada",0,25000)</formula1>
    </dataValidation>
    <dataValidation type="decimal" allowBlank="1" showInputMessage="1" showErrorMessage="1" promptTitle="Total Produksi Panen dalam 1 Thn" prompt="Sebutkan (Ton Per Tahun)" sqref="H1163" xr:uid="{00000000-0002-0000-0100-0000E3020000}">
      <formula1>0</formula1>
      <formula2>IF(H1038="Tidak ada",0,25000)</formula2>
    </dataValidation>
    <dataValidation type="list" allowBlank="1" showInputMessage="1" showErrorMessage="1" promptTitle="Adanya Mediator yang Menangani" prompt="Keterangan:_x000a_0 : Tidak_x000a_1 : Ya" sqref="H821:H825" xr:uid="{00000000-0002-0000-0100-0000E4020000}">
      <formula1>"0,1"</formula1>
    </dataValidation>
    <dataValidation type="decimal" allowBlank="1" showInputMessage="1" showErrorMessage="1" error="Tidak Terdapat Produk Unggulan,_x000a_Diisi 0 (Nol)" promptTitle="Luas Lahan Tanaman " prompt="(Dalam Satuan Luas Ha)_x000a_1 Km2 = 100 Ha" sqref="H1215" xr:uid="{00000000-0002-0000-0100-0000E5020000}">
      <formula1>0</formula1>
      <formula2>IF(H1038="Tidak Ada",0,25000)</formula2>
    </dataValidation>
    <dataValidation type="list" allowBlank="1" showInputMessage="1" showErrorMessage="1" promptTitle="Layanan Bidan Melalui Puskesmas" prompt="Ada_x000a_Tidak Ada" sqref="H1847" xr:uid="{00000000-0002-0000-0100-0000E6020000}">
      <formula1>"Ada, Tidak Ada"</formula1>
    </dataValidation>
    <dataValidation type="whole" showInputMessage="1" showErrorMessage="1" promptTitle="Jlh Perempuan Ikut Musyawarah" prompt="Jumlah Perempuan Ikut Musyawarah Desa" sqref="H763" xr:uid="{00000000-0002-0000-0100-0000E7020000}">
      <formula1>0</formula1>
      <formula2>IF(H762=0,0,100)</formula2>
    </dataValidation>
    <dataValidation allowBlank="1" showInputMessage="1" showErrorMessage="1" promptTitle="Terdapat Taman Bacaan Masyarakat" prompt="1: Tidak ada_x000a_5: Ada_x000a_(IDM S 359.a)" sqref="H1983" xr:uid="{00000000-0002-0000-0100-0000E8020000}"/>
    <dataValidation type="whole" operator="lessThanOrEqual" allowBlank="1" showInputMessage="1" showErrorMessage="1" promptTitle="Rata2 Lama Pendidikan SMP/MTs" prompt=" " sqref="H682" xr:uid="{00000000-0002-0000-0100-0000E9020000}">
      <formula1>7</formula1>
    </dataValidation>
    <dataValidation type="whole" operator="lessThanOrEqual" allowBlank="1" showInputMessage="1" showErrorMessage="1" errorTitle="PERHATIKAN JUMLAH PENDUDUK" error="CEK JUMLAH PENDUDUK DI DESA, Tidak dapat Melebihi Jumlah Penduduk. Tidak Terdapat Tambang Bauksit_x000a_(Hanya diInput Angka)" promptTitle="Jlh Naker Lokal Tambang Bauksit" prompt=" (Diisi Angka)" sqref="H307" xr:uid="{00000000-0002-0000-0100-0000EA020000}">
      <formula1>IF(H304="tidak ada",0,$H$493)</formula1>
    </dataValidation>
    <dataValidation type="list" allowBlank="1" showInputMessage="1" showErrorMessage="1" promptTitle="Terdapat Tambang Batu Kapur" prompt="Ada_x000a_Tidak Ada" sqref="H342" xr:uid="{00000000-0002-0000-0100-0000EB020000}">
      <formula1>"Ada, Tidak Ada"</formula1>
    </dataValidation>
    <dataValidation type="list" allowBlank="1" showInputMessage="1" showErrorMessage="1" promptTitle="Dampingan Wisata Buatan Lainnya" prompt="Tidak Ada_x000a_Pemerintah_x000a_BUMN_x000a_BUMD_x000a_Swasta (CSR)_x000a_Akademisi_x000a_Lainnya" sqref="H201" xr:uid="{00000000-0002-0000-0100-0000EC020000}">
      <formula1>IF(H196="tidak ada",Tidak_Ada,Pendamping_wisata)</formula1>
    </dataValidation>
    <dataValidation type="whole" allowBlank="1" showInputMessage="1" showErrorMessage="1" promptTitle="Jumlah Musyawarah Terencana" prompt="( Diisi Angka)" sqref="H2219" xr:uid="{00000000-0002-0000-0100-0000EE020000}">
      <formula1>0</formula1>
      <formula2>24</formula2>
    </dataValidation>
    <dataValidation type="whole" allowBlank="1" showInputMessage="1" showErrorMessage="1" promptTitle="Frek Kejadian Bencana" prompt="Gempa_x000a_(Kali/Tahun)" sqref="H1489" xr:uid="{00000000-0002-0000-0100-0000EF020000}">
      <formula1>0</formula1>
      <formula2>24</formula2>
    </dataValidation>
    <dataValidation type="whole" operator="lessThanOrEqual" allowBlank="1" showInputMessage="1" showErrorMessage="1" error="Tidak Terdapat Wisata Kolam Pemandian Umum._x000a_Diisi 0 (Nol)" promptTitle="Jlh Naker Desa Wisata Pemandian " prompt="Isi dengan Angka" sqref="H188" xr:uid="{00000000-0002-0000-0100-0000F1020000}">
      <formula1>IF(H182="tidak ada",0,10000)</formula1>
    </dataValidation>
    <dataValidation type="list" allowBlank="1" showInputMessage="1" showErrorMessage="1" promptTitle="Layanan Dokter Melalui Puskesmas" prompt="Ada_x000a_Tidak Ada" sqref="H1828" xr:uid="{00000000-0002-0000-0100-0000F3020000}">
      <formula1>"Ada, Tidak Ada"</formula1>
    </dataValidation>
    <dataValidation type="list" allowBlank="1" showInputMessage="1" showErrorMessage="1" promptTitle="Frekuensi Gotong Royong di desa" prompt="1: Tidak terdapat kegiatan_x000a_3: Terdapat 1-2 kegiatan dalam 1 bulan_x000a_5: Terdapat &gt; 2 kegiatan dalam 1 bulan_x000a_(IDM S360.b)" sqref="H1940" xr:uid="{00000000-0002-0000-0100-0000F4020000}">
      <formula1>IF($H$733=0,Tidak,Ada_goroyong)</formula1>
    </dataValidation>
    <dataValidation type="decimal" operator="lessThanOrEqual" allowBlank="1" showInputMessage="1" showErrorMessage="1" error="Tidak Tedapat Tambang Aspal_x000a_Diisi 0 (NOL)" promptTitle="Luas Tambang Aspal" prompt="(Dalam Satuan Luas Ha)_x000a_1 Km2 = 100 Ha" sqref="H279" xr:uid="{00000000-0002-0000-0100-0000F5020000}">
      <formula1>IF(H278="Tidak Ada",0,25000)</formula1>
    </dataValidation>
    <dataValidation type="list" allowBlank="1" showInputMessage="1" showErrorMessage="1" promptTitle="Terdapat Kejahatan Perjudian" prompt="Keterangan:_x000a_0 : Tidak Ada_x000a_1 : Ada" sqref="H835" xr:uid="{00000000-0002-0000-0100-0000F6020000}">
      <formula1>"0,1"</formula1>
    </dataValidation>
    <dataValidation type="list" operator="lessThanOrEqual" allowBlank="1" showInputMessage="1" showErrorMessage="1" promptTitle="Tujuan Pasar Hasil Panen " prompt="Domestik (Dalam Negeri)_x000a_Ekspor (Luar Negeri)_x000a__x000a_" sqref="H468" xr:uid="{00000000-0002-0000-0100-0000F7020000}">
      <formula1>IF(H398="Tidak ada",Tidak_Ada,Pasar)</formula1>
    </dataValidation>
    <dataValidation type="list" allowBlank="1" showInputMessage="1" showErrorMessage="1" promptTitle="Trayek Tranportasi Kapal" prompt="Ada_x000a_Tidak Ada" sqref="H2143" xr:uid="{00000000-0002-0000-0100-0000F8020000}">
      <formula1>"Ada, Tidak Ada"</formula1>
    </dataValidation>
    <dataValidation type="decimal" operator="lessThanOrEqual" allowBlank="1" showInputMessage="1" showErrorMessage="1" promptTitle="Luas Hutan kelola IUPHAK/Swasta" prompt="(Dalam Satuan Luas Ha)_x000a_1 Km2 = 100 Ha" sqref="H251" xr:uid="{00000000-0002-0000-0100-0000F9020000}">
      <formula1>25000</formula1>
    </dataValidation>
    <dataValidation type="whole" allowBlank="1" showInputMessage="1" showErrorMessage="1" promptTitle="Jumlah Fasilitasi Praktik Bidan" prompt="(Diisi Angka)" sqref="H1844" xr:uid="{00000000-0002-0000-0100-0000FA020000}">
      <formula1>0</formula1>
      <formula2>5</formula2>
    </dataValidation>
    <dataValidation type="custom" operator="greaterThanOrEqual" allowBlank="1" showInputMessage="1" showErrorMessage="1" errorTitle="JLH PENDUDUK pd BIDANG PEKERJAAN" error="Total pendudukn Berdasarkan PEKERJAAN Harus LEBIH KECIL dari TOTAL PENDUDUK di Desa" promptTitle="Jumlah Pekerjaan Wiraswasta" prompt="Jumlah Pekerja Wirasawasta Perempuan" sqref="H524" xr:uid="{00000000-0002-0000-0100-0000FB020000}">
      <formula1>($H$511+$H$512+$H$513+$H$514+$H$515+$H$516+$H$517+$H$518+$H$519+$H$520+$H$521+$H$522+$H$523+$H$524+$H$525+$H$526+$H$527+$H$528+$H$529+$H$530+$H$531+$H$532+$H$533+$H$534+$H$535)&lt;=$H$493</formula1>
    </dataValidation>
    <dataValidation type="decimal" operator="lessThanOrEqual" allowBlank="1" showInputMessage="1" showErrorMessage="1" promptTitle="Total Produksi Panen dalam 1 Thn" prompt="Sebutkan (Ton Per Tahun)" sqref="H983" xr:uid="{00000000-0002-0000-0100-0000FC020000}">
      <formula1>IF(H960="tidak ada",0,25000)</formula1>
    </dataValidation>
    <dataValidation allowBlank="1" showInputMessage="1" showErrorMessage="1" promptTitle="Terdapat Sekdes  yang Menjabat" prompt="Ada_x000a_Tidak Ada_x000a_(IDM 125.a)" sqref="H2193" xr:uid="{00000000-0002-0000-0100-0000FD020000}"/>
    <dataValidation allowBlank="1" showInputMessage="1" showErrorMessage="1" promptTitle="Kerjasama Lainnya" prompt=" " sqref="H1571" xr:uid="{00000000-0002-0000-0100-0000FE020000}"/>
    <dataValidation type="whole" allowBlank="1" showInputMessage="1" showErrorMessage="1" error="Tidak Melebihi Jumlah POSYANDU" promptTitle="Posyandu Melakukan Kegiatan /bln" prompt="Input Menggunakan Angka" sqref="H601" xr:uid="{00000000-0002-0000-0100-0000FF020000}">
      <formula1>0</formula1>
      <formula2>IF(H600=0,0,H600)</formula2>
    </dataValidation>
    <dataValidation type="list" allowBlank="1" showInputMessage="1" showErrorMessage="1" promptTitle="Status kelola Tambang Gas Alam" prompt="Tidak Ada_x000a_Pemerintah_x000a_BUMN_x000a_BUMD_x000a_Swasta_x000a_Perorangan_x000a_Lainnya" sqref="H276" xr:uid="{00000000-0002-0000-0100-000000030000}">
      <formula1>IF($H272="tidak ada",Tidak_Ada,Tambang)</formula1>
    </dataValidation>
    <dataValidation type="list" allowBlank="1" showInputMessage="1" showErrorMessage="1" promptTitle="Transportasi SD/MI/Sederajat" prompt="Ada_x000a_Tidak Ada" sqref="H1752" xr:uid="{00000000-0002-0000-0100-000001030000}">
      <formula1>"Ada, Tidak Ada"</formula1>
    </dataValidation>
    <dataValidation type="list" allowBlank="1" showInputMessage="1" showErrorMessage="1" promptTitle="Mitigasi &amp; Rehabilitasi Bencana" prompt="1: Tidak ada program penanggulangan bencana_x000a_3: Ada program penanggulangan bencana dalam dokumen perencanaan desa dan tidak terealisasi_x000a_5: Ada Program penanggulangan bencana dalam dokumen perencanaan desa dan terealisasi" sqref="H2117" xr:uid="{00000000-0002-0000-0100-000002030000}">
      <formula1>"1,3,5"</formula1>
    </dataValidation>
    <dataValidation type="decimal" operator="lessThanOrEqual" allowBlank="1" showInputMessage="1" showErrorMessage="1" promptTitle="Total Produksi Panen dalam 1 Thn" prompt="Sebutkan (Ton Per Tahun)" sqref="H967" xr:uid="{00000000-0002-0000-0100-000003030000}">
      <formula1>IF(H960="tidak ada",0,25000)</formula1>
    </dataValidation>
    <dataValidation type="list" showInputMessage="1" showErrorMessage="1" promptTitle="Sumber Energi PJU Diesel Non PLN" prompt="0: Tidak Ada_x000a_1: Ada" sqref="H928" xr:uid="{00000000-0002-0000-0100-000004030000}">
      <formula1>"0,1"</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TNI" prompt="Jumlah Pekerja TNI Perempuan" sqref="H526" xr:uid="{00000000-0002-0000-0100-000005030000}">
      <formula1>($H$511+$H$512+$H$513+$H$514+$H$515+$H$516+$H$517+$H$518+$H$519+$H$520+$H$521+$H$522+$H$523+$H$524+$H$525+$H$526+$H$527+$H$528+$H$529+$H$530+$H$531+$H$532+$H$533+$H$534+$H$535)&lt;=$H$493</formula1>
    </dataValidation>
    <dataValidation type="list" allowBlank="1" showInputMessage="1" showErrorMessage="1" promptTitle="Buku Ekspedisi" prompt="Diisi_x000a_Tidak Diisi" sqref="H2158" xr:uid="{00000000-0002-0000-0100-000006030000}">
      <formula1>IF($H$2150="Belum",Tidak_Diisi,Diisi)</formula1>
    </dataValidation>
    <dataValidation type="list" operator="greaterThanOrEqual" allowBlank="1" showInputMessage="1" showErrorMessage="1" promptTitle="Mayoritas alat P'ikanan di Desa" prompt="1. Rumpon_x000a_2. Keramba Apung_x000a_3. Dermaga Perikanan_x000a_4. Tempat P'lelangan Ikan_x000a_5. Cold Storage_x000a_6. Kolam Ikan Air Tawar_x000a_7. Alat Pengupas Sisik_x000a_8. Alat Penghancur_x000a_9. Manual;10. Alat P'ikanan Modern Lain;11. Alat P'ikanan Tradisional Lain;12. Bukan Desa Perikanan" sqref="H1348" xr:uid="{00000000-0002-0000-0100-000007030000}">
      <formula1>"1,2,3,4,5,6,7,8,9,10,11,12"</formula1>
    </dataValidation>
    <dataValidation type="decimal" allowBlank="1" showInputMessage="1" showErrorMessage="1" promptTitle="Total Produksi Panen dalam 1 Thn" prompt="Sebutkan (Ton Per Tahun)" sqref="H1074" xr:uid="{00000000-0002-0000-0100-000008030000}">
      <formula1>0</formula1>
      <formula2>IF(H1038="Tidak ada",0,25000)</formula2>
    </dataValidation>
    <dataValidation type="whole" allowBlank="1" showInputMessage="1" showErrorMessage="1" error="Tidak terdapat kelompok Arisan._x000a_Max 24 kali/tahun" promptTitle="Jlh Frek Arisan" prompt="(Kali/Thn)" sqref="H745" xr:uid="{00000000-0002-0000-0100-000009030000}">
      <formula1>0</formula1>
      <formula2>IF(H744=0,0,24)</formula2>
    </dataValidation>
    <dataValidation type="list" allowBlank="1" showInputMessage="1" showErrorMessage="1" promptTitle="Pihak Dampingan Wisata Air Terju" prompt="Tidak Ada_x000a_Pemerintah_x000a_BUMN_x000a_BUMD_x000a_Swasta (CSR)_x000a_Akademisi_x000a_Lainnya" sqref="H156" xr:uid="{00000000-0002-0000-0100-00000A030000}">
      <formula1>IF(H152="tidak ada",Tidak_Ada,Pendamping_wisata)</formula1>
    </dataValidation>
    <dataValidation type="list" allowBlank="1" showInputMessage="1" showErrorMessage="1" promptTitle="Perubahan Produk Pertanian" prompt="Perubahan produk komoditi pertanian_x000a_Ya, Terdapat Penurunan_x000a_Ya, Terdapat Peningkatan_x000a_Tidak ada Perubahan" sqref="H1330" xr:uid="{00000000-0002-0000-0100-00000B030000}">
      <formula1>"Ya-Terdapat Penurunan, Ya- Terdapat Peningkatan, Tidak Ada Perubahan"</formula1>
    </dataValidation>
    <dataValidation type="list" allowBlank="1" showInputMessage="1" showErrorMessage="1" promptTitle="Data Input dari Template" prompt="Otomatis dari file unggah template Sunting" sqref="H664:H666" xr:uid="{00000000-0002-0000-0100-00000C030000}">
      <formula1>"Rutin Tiap Bulan, Tidak"</formula1>
    </dataValidation>
    <dataValidation type="list" allowBlank="1" showInputMessage="1" showErrorMessage="1" promptTitle="Unggulan 2 Pangan Pasar Domestik" prompt="-, (Lainnya), Padi, Jagung, Kedelai, Kacang Tanah, Kacang Hijau, Ubi Jalar, Ubi Kayu, Melinjo, Pete, Jengkol, Talas, Merica, Kentang, Wortel, Sorgum, Sagu, Gandum, Sukun" sqref="H1277" xr:uid="{00000000-0002-0000-0100-00000D030000}">
      <formula1>$K$959:$K$978</formula1>
    </dataValidation>
    <dataValidation type="list" allowBlank="1" showInputMessage="1" showErrorMessage="1" promptTitle="Terdapat Kasi Pemerintahan" prompt="Ada_x000a_Tidak Ada" sqref="H52" xr:uid="{00000000-0002-0000-0100-00000E030000}">
      <formula1>"Ada, Tidak Ada"</formula1>
    </dataValidation>
    <dataValidation type="whole" allowBlank="1" showInputMessage="1" showErrorMessage="1" error="Tidak Terdapat Musyawarah Desa._x000a_Max 24 kali/tahun" promptTitle="Jlh Frek Musyawarah Desa" prompt="(Kali/Thn)" sqref="H761" xr:uid="{00000000-0002-0000-0100-00000F030000}">
      <formula1>0</formula1>
      <formula2>IF(H759=0,0,24)</formula2>
    </dataValidation>
    <dataValidation type="list" allowBlank="1" showInputMessage="1" showErrorMessage="1" promptTitle="Adminsitrasi Lainnya" prompt="Sudah_x000a_Belum" sqref="H2181" xr:uid="{00000000-0002-0000-0100-000010030000}">
      <formula1>"Sudah, Belum"</formula1>
    </dataValidation>
    <dataValidation type="decimal" allowBlank="1" showInputMessage="1" showErrorMessage="1" error="Tidak Terdapat Produk Unggulan,_x000a_Diisi 0 (Nol)" promptTitle="Luas Lahan Tanaman " prompt="(Dalam Satuan Luas Ha)_x000a_1 Km2 = 100 Ha" sqref="H1186" xr:uid="{00000000-0002-0000-0100-000012030000}">
      <formula1>0</formula1>
      <formula2>IF(H1038="Tidak Ada",0,25000)</formula2>
    </dataValidation>
    <dataValidation type="list" allowBlank="1" showInputMessage="1" showErrorMessage="1" promptTitle="Lama/Hari Sedia Layanan Nakes" prompt="1: Tidak memiliki waktu operasional yang tetap_x000a_3: Tersedia 1 kali lebih dari seminggu_x000a_5: Tersedia 1 kali dalam seminggu" sqref="H1863" xr:uid="{00000000-0002-0000-0100-000013030000}">
      <formula1>"1,3,5"</formula1>
    </dataValidation>
    <dataValidation allowBlank="1" showInputMessage="1" showErrorMessage="1" promptTitle="Sebagian Besar Warga Telkomsel" prompt="Ada_x000a_Tidak Ada_x000a_(IDM S 401.a1)" sqref="H1918" xr:uid="{00000000-0002-0000-0100-000014030000}"/>
    <dataValidation type="decimal" operator="lessThanOrEqual" allowBlank="1" showInputMessage="1" showErrorMessage="1" promptTitle="Luas Lahan Tanaman Lainnya" prompt="(Dalam Satuan Luas Ha)_x000a_1 Km2 = 100 Ha" sqref="H1033" xr:uid="{00000000-0002-0000-0100-000015030000}">
      <formula1>25000</formula1>
    </dataValidation>
    <dataValidation type="whole" operator="lessThanOrEqual" allowBlank="1" showInputMessage="1" showErrorMessage="1" error="Tidak Terdapat Gudang Pangan Milik Pribadi di Desa._x000a_Diisi 0 (NOL)" sqref="H1373" xr:uid="{00000000-0002-0000-0100-000016030000}">
      <formula1>IF(H1372="tidak ada",0,50)</formula1>
    </dataValidation>
    <dataValidation type="whole" allowBlank="1" showInputMessage="1" showErrorMessage="1" promptTitle="Jlh Fasilitas Lap Futsal" prompt="(Unit)" sqref="H768" xr:uid="{00000000-0002-0000-0100-000017030000}">
      <formula1>0</formula1>
      <formula2>10</formula2>
    </dataValidation>
    <dataValidation type="decimal" allowBlank="1" showInputMessage="1" showErrorMessage="1" sqref="H1799" xr:uid="{00000000-0002-0000-0100-000018030000}">
      <formula1>0</formula1>
      <formula2>20</formula2>
    </dataValidation>
    <dataValidation type="list" allowBlank="1" showInputMessage="1" showErrorMessage="1" promptTitle="Unggulan 2 Sayur Pasar Ekspor" prompt="-, Bawang Merah, Bawang Putih, Kubis, Bayam, Kelor, Kangkung, Kol, Selada, Mentimun/Timun/Ketimun, Buncis, Brokoli, Toge, Seledri, Kemangi, Sawi, Cabai Keriting, Cabai Rawit, Cabai Lokal, Pare, Kacang Panjang, Terong, Rebung, Lainnya" sqref="H1320" xr:uid="{00000000-0002-0000-0100-000019030000}">
      <formula1>$K$1136:$K$1159</formula1>
    </dataValidation>
    <dataValidation allowBlank="1" showInputMessage="1" showErrorMessage="1" promptTitle="Fasilitasi Mitigasi Bencana di D" prompt="1: Tidak Ada fasilitas_x000a_5: Ada fasilitas (Peringatan Dini, Perlengkapan Keselamatan, Jalur Evakuasi)_x000a_(IDM L 509.b, L 509.c, L 509.d)" sqref="H2112" xr:uid="{00000000-0002-0000-0100-00001A030000}"/>
    <dataValidation allowBlank="1" showInputMessage="1" showErrorMessage="1" promptTitle="Kejadian Bencana" prompt="Ada_x000a_Tidak Ada_x000a_(IDM L 508.c)" sqref="H2103" xr:uid="{00000000-0002-0000-0100-00001B030000}"/>
    <dataValidation type="whole" operator="lessThanOrEqual" allowBlank="1" showInputMessage="1" showErrorMessage="1" promptTitle="Jlh Tunagrahita &lt;20thn Sekolah" prompt=" " sqref="H690" xr:uid="{00000000-0002-0000-0100-00001C030000}">
      <formula1>250</formula1>
    </dataValidation>
    <dataValidation type="decimal" allowBlank="1" showInputMessage="1" showErrorMessage="1" error="Tidak Terdapat Produk Unggulan,_x000a_Diisi 0 (Nol)" promptTitle="Luas Lahan Tanaman " prompt="(Dalam Satuan Luas Ha)_x000a_1 Km2 = 100 Ha" sqref="H1236" xr:uid="{00000000-0002-0000-0100-00001D030000}">
      <formula1>0</formula1>
      <formula2>IF(H1038="Tidak Ada",0,25000)</formula2>
    </dataValidation>
    <dataValidation type="whole" operator="lessThanOrEqual" allowBlank="1" showInputMessage="1" showErrorMessage="1" errorTitle="PERHATIKAN JUMLAH PENDUDUK" error="CEK JUMLAH PENDUDUK DI DESA, Tidak dapat Melebihi Jumlah Penduduk. Tidak Terdapat Tambang Batu Kapur_x000a_(Hanya diInput Angka)" promptTitle="Jlh Naker Lokal Tambang Batu Kap" prompt=" (Diisi Angka)" sqref="H345" xr:uid="{00000000-0002-0000-0100-00001E030000}">
      <formula1>IF(H342="tidak ada",0,$H$493)</formula1>
    </dataValidation>
    <dataValidation type="list" allowBlank="1" showInputMessage="1" showErrorMessage="1" promptTitle="Terdapat Sekdes" prompt="Ada_x000a_Tidak Ada" sqref="H47" xr:uid="{00000000-0002-0000-0100-00001F030000}">
      <formula1>"Ada, Tidak Ada"</formula1>
    </dataValidation>
    <dataValidation allowBlank="1" showInputMessage="1" showErrorMessage="1" promptTitle="Kejadian Bencana" prompt="Ada_x000a_Tidak Ada_x000a_(IDM L 508.g)" sqref="H2107" xr:uid="{00000000-0002-0000-0100-000020030000}"/>
    <dataValidation type="list" allowBlank="1" showInputMessage="1" showErrorMessage="1" promptTitle="Penyertaan Modal Bumdes dari DD" prompt="1: Tidak_x000a_5: Ya" sqref="H2239" xr:uid="{00000000-0002-0000-0100-000021030000}">
      <formula1>"1,5"</formula1>
    </dataValidation>
    <dataValidation type="whole" operator="lessThanOrEqual" showInputMessage="1" showErrorMessage="1" promptTitle="Koperasi aktif" prompt="Jumlah koperasi aktif beroperasi (unit)_x000a_" sqref="H1396" xr:uid="{00000000-0002-0000-0100-000022030000}">
      <formula1>5</formula1>
    </dataValidation>
    <dataValidation allowBlank="1" showInputMessage="1" showErrorMessage="1" promptTitle="Keberadaan Angkutan Perdesaan" prompt="1: Tidak ada Angkutan Umum_x000a_5: Ada Angkutan Umum_x000a_(IDM E 552)" sqref="H2134" xr:uid="{00000000-0002-0000-0100-000023030000}"/>
    <dataValidation type="list" allowBlank="1" showInputMessage="1" showErrorMessage="1" promptTitle="Pendampingan dari Luar" prompt="0: Tidak Ada_x000a_1: BUMN_x000a_2: Perguruan Tinggi_x000a_3: Swasta_x000a_4: LSM_x000a_5: Lainnya" sqref="H1514" xr:uid="{00000000-0002-0000-0100-000025030000}">
      <formula1>IF($H$1513=0,Tidak_tersedia,Perpustakaan)</formula1>
    </dataValidation>
    <dataValidation allowBlank="1" showInputMessage="1" showErrorMessage="1" promptTitle="Pihak Kelola Tambang Batu Kali" prompt="Sebutkan_x000a_" sqref="H377" xr:uid="{00000000-0002-0000-0100-000026030000}"/>
    <dataValidation type="whole" operator="lessThanOrEqual" showInputMessage="1" showErrorMessage="1" promptTitle="Jlh Perempuan Ikut Musyawarah" prompt="Jumlah Perempuan Ikut Musyawarah Desa_x000a_(Terisi dari Unggah Template Musyawarah Desa)" sqref="H765" xr:uid="{00000000-0002-0000-0100-000027030000}">
      <formula1>500</formula1>
    </dataValidation>
    <dataValidation type="list" allowBlank="1" showInputMessage="1" showErrorMessage="1" promptTitle="Perdes Kesehatan &amp; Pendidikan" prompt="Terdapat Peraturan Desa tentang Kesehatan dan Pendidikan_x000a_0: Tidak Ada_x000a_1: Ada" sqref="H1509" xr:uid="{00000000-0002-0000-0100-000028030000}">
      <formula1>"0,1"</formula1>
    </dataValidation>
    <dataValidation allowBlank="1" showInputMessage="1" showErrorMessage="1" promptTitle="Nama Lengkap Kaur TU &amp; Umum" prompt=" " sqref="H66" xr:uid="{00000000-0002-0000-0100-000029030000}"/>
    <dataValidation type="list" showInputMessage="1" showErrorMessage="1" promptTitle="Jenis permukaan jalan Desa" prompt="Jenis permukaan jalan Desa yang terluas_x000a_1: Aspal/ Beton_x000a_2: Diperkeras (kerikil, batu, dll)_x000a_3: Tanah_x000a_4: Lainnya_x000a_5: Tidak ada Akses" sqref="H1470" xr:uid="{00000000-0002-0000-0100-00002A030000}">
      <formula1>"1,2,3,4,5"</formula1>
    </dataValidation>
    <dataValidation type="list" showInputMessage="1" showErrorMessage="1" promptTitle="Ketersediaan RA" prompt="Keterangan:_x000a_0 : Tidak Ada_x000a_1 : Ada" sqref="H715" xr:uid="{00000000-0002-0000-0100-00002B030000}">
      <formula1>"0,1"</formula1>
    </dataValidation>
    <dataValidation type="whole" operator="lessThanOrEqual" allowBlank="1" showInputMessage="1" showErrorMessage="1" promptTitle="Waktu Tempuh Hotel/Inap T'dekat" prompt="(Menit)" sqref="H1361" xr:uid="{00000000-0002-0000-0100-00002C030000}">
      <formula1>240</formula1>
    </dataValidation>
    <dataValidation type="list" allowBlank="1" showInputMessage="1" showErrorMessage="1" promptTitle="Pelayanan Lainnya utk Masyarakat" prompt="1: Belum_x000a_5: Sudah" sqref="H2214" xr:uid="{00000000-0002-0000-0100-00002D030000}">
      <formula1>"1,5"</formula1>
    </dataValidation>
    <dataValidation type="decimal" operator="lessThanOrEqual" allowBlank="1" showInputMessage="1" showErrorMessage="1" error="Tidak Tedapat Tambang Pasir_x000a_Diisi 0 (NOL)" promptTitle="Luas Tambang Pasir" prompt="(Dalam Satuan Luas Ha)_x000a_1 Km2 = 100 Ha" sqref="H355" xr:uid="{00000000-0002-0000-0100-00002E030000}">
      <formula1>IF(H354="Tidak Ada",0,25000)</formula1>
    </dataValidation>
    <dataValidation allowBlank="1" showInputMessage="1" showErrorMessage="1" prompt="IDM S 317.a" sqref="H1873" xr:uid="{00000000-0002-0000-0100-00002F030000}"/>
    <dataValidation type="decimal" allowBlank="1" showInputMessage="1" showErrorMessage="1" promptTitle="Luas Lahan Tanaman Ubi Kayu" prompt="(Dalam Satuan Luas Ha)_x000a_1 Km2 = 100 Ha" sqref="H985" xr:uid="{00000000-0002-0000-0100-000030030000}">
      <formula1>0</formula1>
      <formula2>IF(H984="tidak ada",0,25000)</formula2>
    </dataValidation>
    <dataValidation type="list" allowBlank="1" showInputMessage="1" showErrorMessage="1" promptTitle="Lembaga Kemasyarakatan lainnya" prompt="0: Tidak Ada_x000a_1: Ada" sqref="H2206" xr:uid="{00000000-0002-0000-0100-000031030000}">
      <formula1>"0,1"</formula1>
    </dataValidation>
    <dataValidation type="list" allowBlank="1" showInputMessage="1" showErrorMessage="1" promptTitle="Konflik Kel Masyarkt dgn Aparat " prompt="Ada_x000a_Tidak Ada" sqref="H1960" xr:uid="{00000000-0002-0000-0100-000032030000}">
      <formula1>IF($H$1954="Tidak Ada",Tidak_Ada,Ada)</formula1>
    </dataValidation>
    <dataValidation type="list" allowBlank="1" showInputMessage="1" showErrorMessage="1" promptTitle="Status kelola Tambang Pasir" prompt="Tidak Ada_x000a_Pemerintah_x000a_BUMN_x000a_BUMD_x000a_Swasta_x000a_Perorangan_x000a_Lainnya" sqref="H358" xr:uid="{00000000-0002-0000-0100-000033030000}">
      <formula1>IF($H354="tidak ada",Tidak_Ada,Tambang)</formula1>
    </dataValidation>
    <dataValidation allowBlank="1" showInputMessage="1" showErrorMessage="1" promptTitle="Permendagri Tahun 2022" prompt="Permendagri No.100.1.1-6117 Tahun 2022" sqref="H24 H22 H26 H20" xr:uid="{00000000-0002-0000-0100-000034030000}"/>
    <dataValidation type="list" showInputMessage="1" showErrorMessage="1" promptTitle="Tdapat Bumdesa Bid Sampah" prompt="Terdapat Bumdesa Bisinis Sosial Bidang Sampah_x000a_0: Tidak Ada_x000a_1: Ada" sqref="H1407" xr:uid="{00000000-0002-0000-0100-000037030000}">
      <formula1>IF($H$1404=0,Tidak_tersedia,Tersedia)</formula1>
    </dataValidation>
    <dataValidation type="list" allowBlank="1" showInputMessage="1" showErrorMessage="1" promptTitle="Ketersediaan Rumah Bersalin" prompt="Tersedia_x000a_Tidak Tersedia" sqref="H1795" xr:uid="{00000000-0002-0000-0100-000038030000}">
      <formula1>"Tersedia, Tidak Tersedia"</formula1>
    </dataValidation>
    <dataValidation allowBlank="1" showInputMessage="1" showErrorMessage="1" promptTitle="Aktivitas Wisata Kuliner" prompt="Contoh:_x000a_Sejarah Makanan, Rempah, Membuat Masakan Tradisional" sqref="H220" xr:uid="{00000000-0002-0000-0100-000039030000}"/>
    <dataValidation type="whole" operator="greaterThanOrEqual" allowBlank="1" showInputMessage="1" showErrorMessage="1" promptTitle="Pajak dan Retribusi Tahun 2023" prompt=" " sqref="H1599" xr:uid="{00000000-0002-0000-0100-00003A030000}">
      <formula1>0</formula1>
    </dataValidation>
    <dataValidation type="whole" allowBlank="1" showInputMessage="1" showErrorMessage="1" promptTitle="Frek Kejadian Bencana" prompt="Tanah Longsor_x000a_(Kali/Tahun)" sqref="H1487" xr:uid="{00000000-0002-0000-0100-00003B030000}">
      <formula1>0</formula1>
      <formula2>24</formula2>
    </dataValidation>
    <dataValidation allowBlank="1" showInputMessage="1" showErrorMessage="1" prompt="Nama Akun Twitter Desa" sqref="H39" xr:uid="{00000000-0002-0000-0100-00003C030000}"/>
    <dataValidation allowBlank="1" showInputMessage="1" showErrorMessage="1" promptTitle="Dasar Pembentuk BKAD" prompt=" " sqref="H1549 H1559 H1585" xr:uid="{00000000-0002-0000-0100-00003D030000}"/>
    <dataValidation allowBlank="1" showInputMessage="1" showErrorMessage="1" promptTitle="Tokoh Masy Menyelesaikan Konflik" prompt="1: Tidak Ada_x000a_5: Ada_x000a_(IDM S 378.d)" sqref="H1976" xr:uid="{00000000-0002-0000-0100-00003E030000}"/>
    <dataValidation type="list" allowBlank="1" showInputMessage="1" showErrorMessage="1" promptTitle="Status Kelola Perkebunan Lainny " prompt="Tidak Ada_x000a_Pemerintah_x000a_BUMN_x000a_BUMD_x000a_Swasta_x000a_Perorangan" sqref="H473" xr:uid="{00000000-0002-0000-0100-00003F030000}">
      <formula1>IF(H470="Tidak ada",Tidak_Ada,kebun)</formula1>
    </dataValidation>
    <dataValidation type="list" allowBlank="1" showInputMessage="1" showErrorMessage="1" promptTitle="Angkutan Umum Udara" prompt="Ada_x000a_Tidak Ada" sqref="H1466" xr:uid="{00000000-0002-0000-0100-000040030000}">
      <formula1>IF(H$1463=3,Tidak_Ada,Ada)</formula1>
    </dataValidation>
    <dataValidation allowBlank="1" showInputMessage="1" showErrorMessage="1" errorTitle="CEK KONFLIK DI DESA 1 TAHUN" error="Batas isian Max 100 Kasus/tahun_x000a_Jika dalm 1 Tahun Terakhir TIDAK ADA konflik di Desa. Diisi angka 0 (NOL)" prompt="IDM (S 377.b-f)" sqref="H1971" xr:uid="{00000000-0002-0000-0100-000041030000}"/>
    <dataValidation type="list" allowBlank="1" showInputMessage="1" showErrorMessage="1" promptTitle="Kerjasama Antar Desa" prompt="1: Belum_x000a_5: Sudah" sqref="H2019" xr:uid="{00000000-0002-0000-0100-000042030000}">
      <formula1>"1,5"</formula1>
    </dataValidation>
    <dataValidation type="whole" operator="lessThanOrEqual" allowBlank="1" showInputMessage="1" showErrorMessage="1" error="Tidak Terdapat Perkebunan Coklat/Kakao. Diisi 0 (NOL)_x000a_Tidak Melebihi Jumlah Penduduk di Desa" promptTitle="Jlh Petani Pkebunan Coklat/Kakao" prompt=" _x000a_" sqref="H421" xr:uid="{00000000-0002-0000-0100-000043030000}">
      <formula1>IF(H416="Tidak ada",0,$H$493)</formula1>
    </dataValidation>
    <dataValidation type="whole" operator="lessThanOrEqual" allowBlank="1" showInputMessage="1" showErrorMessage="1" errorTitle="PERHATIKAN JUMLAH PENDUDUK" error="CEK JUMLAH PENDUDUK DI DESA, Tidak dapat Melebihi Jumlah Penduduk._x000a_Tidak Terdapat Tambang Golongan B Lainnya_x000a_(Hanya diInput Angka)" promptTitle="Jlh Naker Tambang Gol B Lainnya" prompt=" (Diisi Angka)" sqref="H337" xr:uid="{00000000-0002-0000-0100-000044030000}">
      <formula1>IF(H334="tidak ada",0,$H$493)</formula1>
    </dataValidation>
    <dataValidation type="list" allowBlank="1" showInputMessage="1" showErrorMessage="1" promptTitle="Pemanfaatan Energi Terbarukan" prompt="1: Tidak Ada_x000a_5: Ada" sqref="H2082" xr:uid="{00000000-0002-0000-0100-000045030000}">
      <formula1>"1,5"</formula1>
    </dataValidation>
    <dataValidation type="whole" operator="lessThanOrEqual" allowBlank="1" showInputMessage="1" showErrorMessage="1" errorTitle="PERHATIKAN JUMLAH PENDUDUK" error="CEK JUMLAH PENDUDUK DI DESA, Tidak dapat Melebihi Jumlah Penduduk._x000a_Tidak Terdapat Tambang Golongan A Lainnya_x000a_(Hanya diInput Angka)" promptTitle="Jlh Naker Tambang Gol A Lainnya" prompt=" (Diisi Angka)" sqref="H299" xr:uid="{00000000-0002-0000-0100-000046030000}">
      <formula1>IF(H296="tidak ada",0,$H$493)</formula1>
    </dataValidation>
    <dataValidation type="list" showInputMessage="1" showErrorMessage="1" promptTitle="Tdapat Bumdesa Jasa Penyewaan" prompt="Terdapat Bumdesa Jasa Penyewaan Bidang Sewa Tenda_x000a_0: Tidak Ada_x000a_1: Ada" sqref="H1411" xr:uid="{00000000-0002-0000-0100-000047030000}">
      <formula1>IF($H$1409=0,Tidak_tersedia,Tersedia)</formula1>
    </dataValidation>
    <dataValidation type="list" allowBlank="1" showInputMessage="1" showErrorMessage="1" promptTitle="Produk laut" prompt="Terdapat produksi hasil tangkapan laut:_x000a_0 : Tidak Ada_x000a_1 : Ada" sqref="H1332" xr:uid="{00000000-0002-0000-0100-000048030000}">
      <formula1>"0,1"</formula1>
    </dataValidation>
    <dataValidation type="list" showInputMessage="1" showErrorMessage="1" promptTitle="Kerjasama Dengan Pihak LSM" prompt="0: Tidak Ada_x000a_1: Ada" sqref="H1568" xr:uid="{00000000-0002-0000-0100-000049030000}">
      <formula1>"0,1"</formula1>
    </dataValidation>
    <dataValidation type="whole" operator="lessThanOrEqual" allowBlank="1" showInputMessage="1" showErrorMessage="1" promptTitle="Bangunan Rumah Layak DD 2022" prompt="Input dengan Angka" sqref="H867" xr:uid="{00000000-0002-0000-0100-00004A030000}">
      <formula1>500</formula1>
    </dataValidation>
    <dataValidation type="list" showInputMessage="1" showErrorMessage="1" promptTitle="Tersedia Rumah Sakit Bersalin" prompt="0: Tidak Ada_x000a_1: Ada_x000a__x000a_" sqref="H550" xr:uid="{00000000-0002-0000-0100-00004B030000}">
      <formula1>"0,1"</formula1>
    </dataValidation>
    <dataValidation allowBlank="1" showInputMessage="1" showErrorMessage="1" promptTitle="Aktivitas Wisata Taman" prompt="Contoh:_x000a_Bercocok Tanam, Observasi, Penelitian, Berkemah" sqref="H190" xr:uid="{00000000-0002-0000-0100-00004C030000}"/>
    <dataValidation type="whole" operator="lessThanOrEqual" allowBlank="1" showInputMessage="1" showErrorMessage="1" error="Tidak Terdapat Wisata Pantai,_x000a_Diisi 0 (Nol)" promptTitle="Jlh Naker Desa Wisata Pantai" prompt="Isi dengan Angka" sqref="H123" xr:uid="{00000000-0002-0000-0100-00004E030000}">
      <formula1>IF(H117="tidak ada",0,10000)</formula1>
    </dataValidation>
    <dataValidation allowBlank="1" showInputMessage="1" showErrorMessage="1" promptTitle="Aktivitas Wisata Air Terjun" prompt="Contoh:_x000a_Rafting, Swafoto, Berenang" sqref="H153" xr:uid="{00000000-0002-0000-0100-00004F030000}"/>
    <dataValidation type="list" allowBlank="1" showInputMessage="1" showErrorMessage="1" promptTitle="Status kelola Tambang Gol B Lain" prompt="Tidak Ada_x000a_Pemerintah_x000a_BUMN_x000a_BUMD_x000a_Swasta_x000a_Perorangan_x000a_Lainnya" sqref="H339" xr:uid="{00000000-0002-0000-0100-000050030000}">
      <formula1>IF($H334="tidak ada",Tidak_Ada,Tambang)</formula1>
    </dataValidation>
    <dataValidation type="decimal" allowBlank="1" showInputMessage="1" showErrorMessage="1" error="Tidak Terdapat Produk Unggulan,_x000a_Diisi 0 (Nol)" promptTitle="Total Produksi Panen dalam 1 Thn" prompt="Sebutkan (Ton Per Tahun)" sqref="H1304" xr:uid="{00000000-0002-0000-0100-000051030000}">
      <formula1>0</formula1>
      <formula2>IF(LEN(H1274)&lt;3,0,25000)</formula2>
    </dataValidation>
    <dataValidation allowBlank="1" showInputMessage="1" showErrorMessage="1" promptTitle="Nama Wisata Budaya Lainnya" prompt="Sebutkan" sqref="H234" xr:uid="{00000000-0002-0000-0100-000053030000}"/>
    <dataValidation type="custom" operator="greaterThanOrEqual" allowBlank="1" showInputMessage="1" showErrorMessage="1" promptTitle="Jlh KK Miliki Rumah SemiPermanen" prompt="Input Dengan Angka" sqref="H879" xr:uid="{00000000-0002-0000-0100-000054030000}">
      <formula1>(($H$877+$H$879+$H$881)&lt;=$H$875)</formula1>
    </dataValidation>
    <dataValidation type="whole" operator="lessThanOrEqual" allowBlank="1" showInputMessage="1" showErrorMessage="1" promptTitle="Jlh Anggota P'rumusn RPJMDes Akf" prompt="(Orang)" sqref="H1506" xr:uid="{00000000-0002-0000-0100-000055030000}">
      <formula1>500</formula1>
    </dataValidation>
    <dataValidation type="list" allowBlank="1" showInputMessage="1" showErrorMessage="1" promptTitle="Jaringan Internet di Kantor Desa" prompt="Tidak Ada_x000a_2G/ 2.5G/ GPRS/ EDGE_x000a_3G/ 3.5G/ HSDPA/ EVDO_x000a_4G LTE_x000a_5G" sqref="H945" xr:uid="{00000000-0002-0000-0100-000056030000}">
      <formula1>IF($H$944=0,Tidak_Ada,sinyal)</formula1>
    </dataValidation>
    <dataValidation type="whole" allowBlank="1" showInputMessage="1" showErrorMessage="1" promptTitle="Besaran DD disertakan sbg Modal" prompt="(Diisi Angka)" sqref="H2241" xr:uid="{00000000-0002-0000-0100-000059030000}">
      <formula1>0</formula1>
      <formula2>H2240</formula2>
    </dataValidation>
    <dataValidation type="list" operator="greaterThanOrEqual" showInputMessage="1" showErrorMessage="1" promptTitle="Info APBDes (Papan Informasi)" prompt="0: Tidak_x000a_1: Ya" sqref="H1621" xr:uid="{00000000-0002-0000-0100-00005A030000}">
      <formula1>"0,1"</formula1>
    </dataValidation>
    <dataValidation type="list" allowBlank="1" showInputMessage="1" showErrorMessage="1" promptTitle="Jenis Kelamin Kasi Pemerintahan" prompt="Laki- Laki_x000a_Perempuan" sqref="H55" xr:uid="{00000000-0002-0000-0100-00005B030000}">
      <formula1>"Laki-Laki, Perempuan"</formula1>
    </dataValidation>
    <dataValidation type="custom" allowBlank="1" showInputMessage="1" showErrorMessage="1" error="Input Jumlah Penduduk denan BENAR" promptTitle="Jumlah Penduduk Laki-Laki" prompt="Input Menggunakan Angka" sqref="H494" xr:uid="{00000000-0002-0000-0100-00005C030000}">
      <formula1>(H494+H495)&lt;=120000</formula1>
    </dataValidation>
    <dataValidation allowBlank="1" showInputMessage="1" showErrorMessage="1" promptTitle="Waktu Tempuh (Menit) Penginapan" prompt="(Diisi Angka)_x000a_IDM E 523.c" sqref="H2048" xr:uid="{00000000-0002-0000-0100-00005D030000}"/>
    <dataValidation type="list" allowBlank="1" showInputMessage="1" showErrorMessage="1" promptTitle="Peraturan Pelestarian Lingkungan" prompt="1: Tidak Ada_x000a_5: Ada" sqref="H2080" xr:uid="{00000000-0002-0000-0100-00005E030000}">
      <formula1>"1,5"</formula1>
    </dataValidation>
    <dataValidation type="whole" operator="lessThanOrEqual" allowBlank="1" showInputMessage="1" showErrorMessage="1" promptTitle="Jlh Tunagrahita &lt;20thn tdk sklh" prompt=" " sqref="H691" xr:uid="{00000000-0002-0000-0100-00005F030000}">
      <formula1>250</formula1>
    </dataValidation>
    <dataValidation type="list" allowBlank="1" showInputMessage="1" showErrorMessage="1" promptTitle="Terdapat Tambang Gol B Lainnya" prompt="Ada_x000a_Tidak Ada" sqref="H334" xr:uid="{00000000-0002-0000-0100-000060030000}">
      <formula1>"Ada, Tidak Ada"</formula1>
    </dataValidation>
    <dataValidation type="list" allowBlank="1" showInputMessage="1" showErrorMessage="1" promptTitle="Status kelola Tambang Tanah Uruk" prompt="Tidak Ada_x000a_Pemerintah_x000a_BUMN_x000a_BUMD_x000a_Swasta_x000a_Perorangan_x000a_Lainnya" sqref="H382" xr:uid="{00000000-0002-0000-0100-000061030000}">
      <formula1>IF($H378="tidak ada",Tidak_Ada,Tambang)</formula1>
    </dataValidation>
    <dataValidation type="list" showInputMessage="1" showErrorMessage="1" promptTitle="Kerjasama Pihak Perguruan Tinggi" prompt="0: Tidak Ada_x000a_1: Ada" sqref="H1569" xr:uid="{00000000-0002-0000-0100-000062030000}">
      <formula1>"0,1"</formula1>
    </dataValidation>
    <dataValidation allowBlank="1" showInputMessage="1" showErrorMessage="1" promptTitle="Pengelola Wisata Alam Lainnya" prompt="Sebutkan" sqref="H170" xr:uid="{00000000-0002-0000-0100-000063030000}"/>
    <dataValidation type="whole" operator="lessThanOrEqual" allowBlank="1" showInputMessage="1" showErrorMessage="1" error="Tidak Terdapat Perkebunan Kina_x000a_Diisi 0 (NOL)_x000a_Tidak Melebihi Jumlah Penduduk di Desa" promptTitle="Jlh Petani Perkebunan Kina" prompt=" _x000a_" sqref="H448" xr:uid="{00000000-0002-0000-0100-000064030000}">
      <formula1>IF(H443="Tidak ada",0,$H$493)</formula1>
    </dataValidation>
    <dataValidation type="whole" operator="lessThanOrEqual" allowBlank="1" showInputMessage="1" showErrorMessage="1" errorTitle="PERHATIKAN JUMLAH PENDUDUK" error="CEK JUMLAH PENDUDUK DI DESA, Tidak dapat Melebihi Jumlah Penduduk._x000a_Tidak Terdapat Tambang Pasir_x000a_(Hanya diInput Angka)" promptTitle="Jlh Naker Tambang Pasir" prompt=" (Diisi Angka)" sqref="H356" xr:uid="{00000000-0002-0000-0100-000065030000}">
      <formula1>IF(H354="tidak ada",0,$H$493)</formula1>
    </dataValidation>
    <dataValidation type="list" allowBlank="1" showInputMessage="1" showErrorMessage="1" promptTitle="Terdapat Wisata Hutan" prompt="Ada_x000a_Tidak Ada" sqref="H138" xr:uid="{00000000-0002-0000-0100-000066030000}">
      <formula1>"Ada, Tidak Ada"</formula1>
    </dataValidation>
    <dataValidation type="whole" operator="greaterThanOrEqual" allowBlank="1" showInputMessage="1" showErrorMessage="1" promptTitle="Biaya Desa ke Kantor Gubernur" prompt="Biaya yang dikeluarkan untuk Transportasi Dari kantor Desa Ke Ke Kantor Gubernur" sqref="H1709" xr:uid="{00000000-0002-0000-0100-000067030000}">
      <formula1>0</formula1>
    </dataValidation>
    <dataValidation allowBlank="1" showInputMessage="1" showErrorMessage="1" promptTitle="Terdapat Gotong Royong di desa" prompt="1: Tidak Ada_x000a_5: Ada_x000a_(IDM S 360.a)" sqref="H1935" xr:uid="{00000000-0002-0000-0100-000068030000}"/>
    <dataValidation type="whole" operator="lessThanOrEqual" allowBlank="1" showInputMessage="1" showErrorMessage="1" error="Tidak Melebihi Jumlah Penduduk di Desa." promptTitle="Jlh Warga Profesi sbg Nelayan" prompt="(Orang)" sqref="H485" xr:uid="{00000000-0002-0000-0100-000069030000}">
      <formula1>$H$493</formula1>
    </dataValidation>
    <dataValidation type="list" allowBlank="1" showInputMessage="1" showErrorMessage="1" promptTitle="Buku Aparat Pemerintah Desa" prompt="Diisi_x000a_Tidak Diisi" sqref="H2155" xr:uid="{00000000-0002-0000-0100-00006A030000}">
      <formula1>IF($H$2150="Belum",Tidak_Diisi,Diisi)</formula1>
    </dataValidation>
    <dataValidation allowBlank="1" showInputMessage="1" showErrorMessage="1" promptTitle="Ketersediaan Pos &amp; Logistik Desa" prompt="1: Tidak ada_x000a_5: Ada_x000a_(IDM E 528.a dan E 529.a)" sqref="H2053" xr:uid="{00000000-0002-0000-0100-00006B030000}"/>
    <dataValidation type="list" showInputMessage="1" showErrorMessage="1" promptTitle="Tdapat Bumdesa Usaha" prompt="Terdapat Bumdesa Usaha_x000a_0: Tidak Ada_x000a_1: Ada" sqref="H1438" xr:uid="{00000000-0002-0000-0100-00006C030000}">
      <formula1>IF(H$1397=0,Tidak_tersedia,Tersedia)</formula1>
    </dataValidation>
    <dataValidation type="list" allowBlank="1" showInputMessage="1" showErrorMessage="1" promptTitle="Trayek Tranportasi Becak" prompt="Ada_x000a_Tidak Ada" sqref="H2140" xr:uid="{00000000-0002-0000-0100-00006D030000}">
      <formula1>"Ada, Tidak Ada"</formula1>
    </dataValidation>
    <dataValidation allowBlank="1" showInputMessage="1" showErrorMessage="1" promptTitle="Aktivitas Wisata Buatan Lainnya" prompt="Sebutkan" sqref="H198" xr:uid="{00000000-0002-0000-0100-00006E030000}"/>
    <dataValidation allowBlank="1" showInputMessage="1" showErrorMessage="1" promptTitle="Pengurus BUMDesa" prompt="(Terisi dari Unggah Template BUMDes dan BUMDesa Bersama)" sqref="H1460" xr:uid="{00000000-0002-0000-0100-00006F030000}"/>
    <dataValidation allowBlank="1" showInputMessage="1" showErrorMessage="1" promptTitle="Terdapat PKK" prompt="0: Tidak Ada_x000a_1: Ada_x000a_(IDM S 362.b)" sqref="H2204" xr:uid="{00000000-0002-0000-0100-000070030000}"/>
    <dataValidation type="list" showInputMessage="1" showErrorMessage="1" promptTitle="Tdapat Bumdesa Jasa Penyewaan" prompt="Terdapat Bumdesa Jasa Penyewaan Gedung_x000a_0: Tidak Ada_x000a_1: Ada" sqref="H1410" xr:uid="{00000000-0002-0000-0100-000071030000}">
      <formula1>IF($H$1409=0,Tidak_tersedia,Tersedia)</formula1>
    </dataValidation>
    <dataValidation type="decimal" allowBlank="1" showInputMessage="1" showErrorMessage="1" error="Tidak Terdapat Produk Unggulan,_x000a_Diisi 0 (Nol)" promptTitle="Luas Lahan Tanaman " prompt="(Dalam Satuan Luas Ha)_x000a_1 Km2 = 100 Ha" sqref="H1251" xr:uid="{00000000-0002-0000-0100-000072030000}">
      <formula1>0</formula1>
      <formula2>IF(H1038="Tidak Ada",0,25000)</formula2>
    </dataValidation>
    <dataValidation type="whole" allowBlank="1" showInputMessage="1" showErrorMessage="1" sqref="H2054 H1800" xr:uid="{00000000-0002-0000-0100-000073030000}">
      <formula1>0</formula1>
      <formula2>180</formula2>
    </dataValidation>
    <dataValidation type="decimal" operator="lessThanOrEqual" allowBlank="1" showInputMessage="1" showErrorMessage="1" promptTitle="Total Produksi Panen dalam 1 Thn" prompt="Sebutkan (Ton Per Tahun)" sqref="H991" xr:uid="{00000000-0002-0000-0100-000074030000}">
      <formula1>IF(H960="tidak ada",0,25000)</formula1>
    </dataValidation>
    <dataValidation type="whole" operator="lessThanOrEqual" allowBlank="1" showInputMessage="1" showErrorMessage="1" promptTitle="Jarak Bank Pemerintah T'dekat" prompt="(Meter)" sqref="H1386" xr:uid="{00000000-0002-0000-0100-000075030000}">
      <formula1>250000</formula1>
    </dataValidation>
    <dataValidation type="list" showInputMessage="1" showErrorMessage="1" promptTitle="Tdpt Puskesmas Tanpa Rawat Ina" prompt="0: Tidak Ada_x000a_1: Ada_x000a_" sqref="H558" xr:uid="{00000000-0002-0000-0100-000077030000}">
      <formula1>"0,1"</formula1>
    </dataValidation>
    <dataValidation type="list" allowBlank="1" showInputMessage="1" showErrorMessage="1" promptTitle="Sebagian Besar Warga Smartfren" prompt="Ada_x000a_Tidak Ada" sqref="H1922" xr:uid="{00000000-0002-0000-0100-000078030000}">
      <formula1>"Ada, Tidak Ada"</formula1>
    </dataValidation>
    <dataValidation type="list" allowBlank="1" showInputMessage="1" showErrorMessage="1" promptTitle="Ketersediaan Rumah Sakit" prompt="Tersedia_x000a_Tidak Tersedia" sqref="H1791" xr:uid="{00000000-0002-0000-0100-000079030000}">
      <formula1>"Tersedia, Tidak Tersedia"</formula1>
    </dataValidation>
    <dataValidation type="whole" operator="lessThanOrEqual" allowBlank="1" showInputMessage="1" showErrorMessage="1" promptTitle="Jlh Perahu milik Swasta" prompt="(Unit)" sqref="H487" xr:uid="{00000000-0002-0000-0100-00007A030000}">
      <formula1>10000</formula1>
    </dataValidation>
    <dataValidation type="list" allowBlank="1" showInputMessage="1" showErrorMessage="1" promptTitle="Punya SOP Pelayanan Masyarakat" prompt="Sudah_x000a_Belum" sqref="H2197" xr:uid="{00000000-0002-0000-0100-00007B030000}">
      <formula1>"Sudah, Belum"</formula1>
    </dataValidation>
    <dataValidation type="list" allowBlank="1" showInputMessage="1" showErrorMessage="1" promptTitle="Terdapat Tambang Tanah Uruk" prompt="Ada_x000a_Tidak Ada" sqref="H378" xr:uid="{00000000-0002-0000-0100-00007C030000}">
      <formula1>"Ada, Tidak Ada"</formula1>
    </dataValidation>
    <dataValidation type="list" allowBlank="1" showInputMessage="1" showErrorMessage="1" promptTitle="Hari Operasional Bumdes/Bumdesma" prompt="1: Tidak terdapat Lembaga Ekonomi_x000a_2: Waktu pelayanan tidak pasti_x000a_3: Beroperasi 1-3 hari seminggu_x000a_4: Beroperasi 4-5 hari seminggu_x000a_5: Beroperasi &gt;5 hari seminggu" sqref="H2062" xr:uid="{00000000-0002-0000-0100-00007D030000}">
      <formula1>IF($H$2059=1,Non_listrik,OR)</formula1>
    </dataValidation>
    <dataValidation type="list" showInputMessage="1" showErrorMessage="1" promptTitle="Pasar Tanpa Bangunan" prompt="Terdapat pasar tanpa bangunan di Desa_x000a_0: Tidak Ada_x000a_1: Ada" sqref="H1355" xr:uid="{00000000-0002-0000-0100-00007E030000}">
      <formula1>"0,1"</formula1>
    </dataValidation>
    <dataValidation type="list" allowBlank="1" showInputMessage="1" showErrorMessage="1" promptTitle="Unggulan 1 Buah Pasar Domestik" prompt="-, Buah Lainnya, Jeruk Loka, Mangga Lokal, Tomat, Semangka, Jeruk Nipis, Jeruk Lemon, Jeruk Bali, Mangga Manalagi, Mangga Alpukat, Mangga Harum Manis, Mangga Gedonggincu, Mangga Malibu, Mangga Apel, Melon, Stroberi, Rambutan, Pepaya, Jambu, Pisang, Nanas," sqref="H1281" xr:uid="{00000000-0002-0000-0100-00007F030000}">
      <formula1>$K$1038:$K$1070</formula1>
    </dataValidation>
    <dataValidation allowBlank="1" showInputMessage="1" showErrorMessage="1" promptTitle="Tersedia Penerangan Jalan Umum" prompt="1: Tidak terdapat PJU_x000a_5: Terdapat PJU_x000a_(IDM S 400.a)" sqref="H2130" xr:uid="{00000000-0002-0000-0100-000080030000}"/>
    <dataValidation allowBlank="1" showInputMessage="1" showErrorMessage="1" prompt="IDM 109.a" sqref="H1716" xr:uid="{00000000-0002-0000-0100-000081030000}"/>
    <dataValidation allowBlank="1" showInputMessage="1" showErrorMessage="1" promptTitle="Ketersediaan Pasar di Desa" prompt="1: Tidak ada_x000a_5: Ada_x000a_(IDM E 518, E 519, E 520.b)" sqref="H2028" xr:uid="{00000000-0002-0000-0100-000084030000}"/>
    <dataValidation type="decimal" allowBlank="1" showInputMessage="1" showErrorMessage="1" promptTitle="Total Produksi Panen dalam 1 Thn" prompt="Sebutkan (Ton Per Tahun)" sqref="H1068" xr:uid="{00000000-0002-0000-0100-000085030000}">
      <formula1>0</formula1>
      <formula2>IF(H1038="Tidak ada",0,25000)</formula2>
    </dataValidation>
    <dataValidation allowBlank="1" showInputMessage="1" showErrorMessage="1" promptTitle="Unit Usaha yg dilakukan" prompt=" " sqref="H1561 H1551 H1587" xr:uid="{00000000-0002-0000-0100-000087030000}"/>
    <dataValidation type="whole" operator="lessThanOrEqual" allowBlank="1" showInputMessage="1" showErrorMessage="1" promptTitle="Jrk ke Pst Kursus/P'latihan" prompt=" " sqref="H726" xr:uid="{00000000-0002-0000-0100-000088030000}">
      <formula1>25000</formula1>
    </dataValidation>
    <dataValidation type="whole" allowBlank="1" showInputMessage="1" showErrorMessage="1" prompt="IDM S 315.c" sqref="H1813" xr:uid="{00000000-0002-0000-0100-000089030000}">
      <formula1>0</formula1>
      <formula2>180</formula2>
    </dataValidation>
    <dataValidation allowBlank="1" showInputMessage="1" showErrorMessage="1" promptTitle="Pengelola Wisata Laut/Danau" prompt="Sebutkan" sqref="H134" xr:uid="{00000000-0002-0000-0100-00008A030000}"/>
    <dataValidation allowBlank="1" showInputMessage="1" showErrorMessage="1" promptTitle="Pihak Kelola Tambang Nikel" prompt="Sebutkan_x000a_" sqref="H295" xr:uid="{00000000-0002-0000-0100-00008B030000}"/>
    <dataValidation type="decimal" operator="lessThanOrEqual" allowBlank="1" showInputMessage="1" showErrorMessage="1" error="Tidak terdapat Perkebunan Karet._x000a_Diisi 0 (NOL)" promptTitle="Total Produksi dalam 1 Tahun" prompt="Sebutkan (Satuan Ton)_x000a_" sqref="H402" xr:uid="{00000000-0002-0000-0100-00008C030000}">
      <formula1>IF(H398="Tidak ada",0,10000)</formula1>
    </dataValidation>
    <dataValidation type="whole" operator="greaterThanOrEqual" allowBlank="1" showInputMessage="1" showErrorMessage="1" promptTitle="Total TP. PKK Desa" prompt="TP. PKK Desa Laki-Laki_x000a_(Terisi dari Unggah Template Staf Petugas Desa dan Lembaga Kemasayarakatan Desa)" sqref="H83" xr:uid="{00000000-0002-0000-0100-00008D030000}">
      <formula1>0</formula1>
    </dataValidation>
    <dataValidation type="decimal" allowBlank="1" showInputMessage="1" showErrorMessage="1" promptTitle="Total Produksi Panen dalam 1 Thn" prompt="Sebutkan (Ton Per Tahun)" sqref="H1206" xr:uid="{00000000-0002-0000-0100-00008E030000}">
      <formula1>0</formula1>
      <formula2>IF(H1038="Tidak ada",0,25000)</formula2>
    </dataValidation>
    <dataValidation type="decimal" allowBlank="1" showInputMessage="1" showErrorMessage="1" error="Tidak Terdapat Produk Unggulan,_x000a_Diisi 0 (Nol)" promptTitle="Luas Lahan Tanaman " prompt="(Dalam Satuan Luas Ha)_x000a_1 Km2 = 100 Ha" sqref="H1110" xr:uid="{00000000-0002-0000-0100-00008F030000}">
      <formula1>0</formula1>
      <formula2>IF(H1038="Tidak Ada",0,25000)</formula2>
    </dataValidation>
    <dataValidation allowBlank="1" showInputMessage="1" showErrorMessage="1" prompt="Alamat Email Aktif Kantor Desa" sqref="H36" xr:uid="{00000000-0002-0000-0100-000090030000}"/>
    <dataValidation type="whole" operator="lessThanOrEqual" allowBlank="1" showInputMessage="1" showErrorMessage="1" error="Tidak Terdapat Perkebunan Teh._x000a_Diisi 0 (NOL)_x000a_Tidak Melebihi Jumlah Penduduk di Desa" promptTitle="Jlh Petani Perkebunan Teh" prompt=" _x000a_" sqref="H439" xr:uid="{00000000-0002-0000-0100-000091030000}">
      <formula1>IF(H434="Tidak ada",0,$H$493)</formula1>
    </dataValidation>
    <dataValidation allowBlank="1" showInputMessage="1" showErrorMessage="1" promptTitle="Rata-rata pendidikan SD-SMP-SMU" prompt="Terhitung secara Otomatis" sqref="H688" xr:uid="{00000000-0002-0000-0100-000092030000}"/>
    <dataValidation type="whole" allowBlank="1" showInputMessage="1" showErrorMessage="1" promptTitle="Jarak Menuju Mitigasi Bencana" prompt="(Diisi Angka)" sqref="H2114" xr:uid="{00000000-0002-0000-0100-000093030000}">
      <formula1>0</formula1>
      <formula2>20000</formula2>
    </dataValidation>
    <dataValidation type="list" allowBlank="1" showInputMessage="1" showErrorMessage="1" promptTitle="Terdapat Wisata Sejarah &amp; Religi" prompt="Ada_x000a_Tidak Ada" sqref="H212" xr:uid="{00000000-0002-0000-0100-000094030000}">
      <formula1>"Ada, Tidak Ada"</formula1>
    </dataValidation>
    <dataValidation type="list" allowBlank="1" showInputMessage="1" showErrorMessage="1" promptTitle="Layanan Dokter Rumah Bersalin" prompt="Ada_x000a_Tidak Ada" sqref="H1831" xr:uid="{00000000-0002-0000-0100-000095030000}">
      <formula1>"Ada, Tidak Ada"</formula1>
    </dataValidation>
    <dataValidation allowBlank="1" showInputMessage="1" showErrorMessage="1" promptTitle="Akses PAUD/TK/Sederajat di Desa" prompt="1: Sangat Sulit_x000a_2: Sulit_x000a_3: Sedang_x000a_4: Mudah_x000a_5: Sangat Mudah" sqref="H1741" xr:uid="{00000000-0002-0000-0100-000096030000}"/>
    <dataValidation type="decimal" allowBlank="1" showInputMessage="1" showErrorMessage="1" promptTitle="Total Produksi Panen dalam 1 Thn" prompt="Sebutkan (Ton Per Tahun)" sqref="H1210" xr:uid="{00000000-0002-0000-0100-000097030000}">
      <formula1>0</formula1>
      <formula2>IF(H1038="Tidak ada",0,25000)</formula2>
    </dataValidation>
    <dataValidation allowBlank="1" showInputMessage="1" showErrorMessage="1" promptTitle="Pihak Kelola Tambang Perak" prompt="Sebutkan_x000a_" sqref="H333" xr:uid="{00000000-0002-0000-0100-000098030000}"/>
    <dataValidation type="decimal" operator="lessThanOrEqual" allowBlank="1" showInputMessage="1" showErrorMessage="1" error="Tidak dapat Perkebunan Lainnya._x000a_Diisi 0 (NOL)" promptTitle="Luas Area Perkebunan Lainnya" prompt="(Dalam Satuan Luas Ha)_x000a_1 Km2 = 100 Ha" sqref="H472" xr:uid="{00000000-0002-0000-0100-000099030000}">
      <formula1>IF(H470="Tidak ada",0,25000)</formula1>
    </dataValidation>
    <dataValidation type="whole" allowBlank="1" showInputMessage="1" showErrorMessage="1" error="Tidak Terdapat PKK._x000a_Max 24 kali/tahun" promptTitle="Jlh Frek PKK" prompt="(Kali/Thn)" sqref="H739" xr:uid="{00000000-0002-0000-0100-00009A030000}">
      <formula1>0</formula1>
      <formula2>IF(H738=0,0,24)</formula2>
    </dataValidation>
    <dataValidation type="whole" operator="lessThanOrEqual" allowBlank="1" showInputMessage="1" showErrorMessage="1" error="Tidak Terdapat Perkebunan Karet. Diisi 0 (NOL)_x000a_Tidak Melebihi Jumlah Penduduk di Desa" promptTitle="Jlh Petani Perkebunan Karet" prompt=" _x000a_" sqref="H404" xr:uid="{00000000-0002-0000-0100-00009B030000}">
      <formula1>IF(H398="Tidak ada",0,$H$493)</formula1>
    </dataValidation>
    <dataValidation type="list" allowBlank="1" showInputMessage="1" showErrorMessage="1" promptTitle="Unggulan 1 Obat Pasar Domestik" prompt="-, Jahe, Jahe Merah, Kunyit, Kunyit Putih, Lengkuas/Laos, Kencur, Temulawak, Lidah Buaya, Kumis Kucing, Kemangi, Sirih, Ketumbar, Sambiloto, Gingko Giloba, Bangle, Mengkudu, Kayu Manis, Jintan Hitam, Kapulaga, Sereh, Lainnya" sqref="H1295" xr:uid="{00000000-0002-0000-0100-00009C030000}">
      <formula1>$K$1207:$K$1228</formula1>
    </dataValidation>
    <dataValidation type="decimal" allowBlank="1" showInputMessage="1" showErrorMessage="1" promptTitle="Total Produksi Panen dalam 1 Thn" prompt="Sebutkan (Ton Per Tahun)" sqref="H1084" xr:uid="{00000000-0002-0000-0100-00009D030000}">
      <formula1>0</formula1>
      <formula2>IF(H1038="Tidak ada",0,25000)</formula2>
    </dataValidation>
    <dataValidation type="list" allowBlank="1" showInputMessage="1" showErrorMessage="1" promptTitle="Buku Induk Penduduk" prompt="Diisi_x000a_Tidak Diisi" sqref="H2162" xr:uid="{00000000-0002-0000-0100-00009E030000}">
      <formula1>IF($H$2160="Belum",Tidak_Diisi,Diisi)</formula1>
    </dataValidation>
    <dataValidation type="decimal" allowBlank="1" showInputMessage="1" showErrorMessage="1" promptTitle="Luas Lahan Tanaman Sukun" prompt="(Dalam Satuan Luas Ha)_x000a_1 Km2 = 100 Ha" sqref="H1029" xr:uid="{00000000-0002-0000-0100-00009F030000}">
      <formula1>0</formula1>
      <formula2>IF(H1028="tidak ada",0,25000)</formula2>
    </dataValidation>
    <dataValidation type="whole" operator="lessThanOrEqual" allowBlank="1" showInputMessage="1" showErrorMessage="1" error="Tidak Terdapat Wisata Budaya Lainnya,_x000a_Diisi 0 (Nol)" promptTitle="Jlh Naker DesWita Budaya Lainnya" prompt="Isi dengan Angka" sqref="H240" xr:uid="{00000000-0002-0000-0100-0000A0030000}">
      <formula1>IF(H233="tidak ada",0,10000)</formula1>
    </dataValidation>
    <dataValidation type="list" showInputMessage="1" showErrorMessage="1" promptTitle="Tdapat Bumdesa Perantara" prompt="Terdapat Bumdesa Perantara Bidang Toko/Kios_x000a_0: Tidak Ada_x000a_1: Ada" sqref="H1434" xr:uid="{00000000-0002-0000-0100-0000A2030000}">
      <formula1>IF($H$1431=0,Tidak_tersedia,Tersedia)</formula1>
    </dataValidation>
    <dataValidation type="list" allowBlank="1" showInputMessage="1" showErrorMessage="1" promptTitle="Terdapat Produk Unggulan Sukun" prompt="Ada_x000a_Tidak Ada" sqref="H1028" xr:uid="{00000000-0002-0000-0100-0000A3030000}">
      <formula1>"Ada, Tidak Ada"</formula1>
    </dataValidation>
    <dataValidation type="decimal" allowBlank="1" showInputMessage="1" showErrorMessage="1" promptTitle="Total Produksi Panen dalam 1 Thn" prompt="Sebutkan (Ton Per Tahun)" sqref="H1264" xr:uid="{00000000-0002-0000-0100-0000A4030000}">
      <formula1>0</formula1>
      <formula2>IF(H1038="Tidak ada",0,25000)</formula2>
    </dataValidation>
    <dataValidation allowBlank="1" showInputMessage="1" showErrorMessage="1" promptTitle="Sumber air untuk mandi dan Cuci" prompt="Sumber Air Lainnya, Sebutkan" sqref="H903" xr:uid="{00000000-0002-0000-0100-0000A5030000}"/>
    <dataValidation type="list" allowBlank="1" showInputMessage="1" showErrorMessage="1" promptTitle="Terdapat Wisata Buatan Lainnya" prompt="Ada_x000a_Tidak Ada" sqref="H196" xr:uid="{00000000-0002-0000-0100-0000A6030000}">
      <formula1>"Ada, Tidak Ada"</formula1>
    </dataValidation>
    <dataValidation type="list" showInputMessage="1" showErrorMessage="1" promptTitle="Ketersediaan TK" prompt="Keterangan:_x000a_0 : Tidak Ada_x000a_1 : Ada" sqref="H713" xr:uid="{00000000-0002-0000-0100-0000A7030000}">
      <formula1>"0,1"</formula1>
    </dataValidation>
    <dataValidation type="list" allowBlank="1" showInputMessage="1" showErrorMessage="1" promptTitle="Status Kelola Perkebunan Kopi " prompt="Tidak Ada_x000a_Pemerintah_x000a_BUMN_x000a_BUMD_x000a_Swasta_x000a_Perorangan" sqref="H427" xr:uid="{00000000-0002-0000-0100-0000A8030000}">
      <formula1>IF(H425="Tidak ada",Tidak_Ada,kebun)</formula1>
    </dataValidation>
    <dataValidation type="whole" operator="lessThanOrEqual" allowBlank="1" showInputMessage="1" showErrorMessage="1" error="Tidak Terdapat Wisata Sungai,_x000a_Diisi 0 (Nol)" promptTitle="Jlh Naker Desa Wisata Sungai" prompt="Isi dengan Angka" sqref="H151" xr:uid="{00000000-0002-0000-0100-0000A9030000}">
      <formula1>IF(H145="tidak ada",0,10000)</formula1>
    </dataValidation>
    <dataValidation type="list" allowBlank="1" showInputMessage="1" showErrorMessage="1" promptTitle="Terdapat Produk Unggulan Gandum" prompt="Ada_x000a_Tidak Ada" sqref="H1024" xr:uid="{00000000-0002-0000-0100-0000AA030000}">
      <formula1>"Ada, Tidak Ada"</formula1>
    </dataValidation>
    <dataValidation allowBlank="1" showInputMessage="1" showErrorMessage="1" promptTitle="Bidang Lain Tdampak Pendampingan" prompt="Sebutkan" sqref="H1527" xr:uid="{00000000-0002-0000-0100-0000AB030000}"/>
    <dataValidation type="list" allowBlank="1" showInputMessage="1" showErrorMessage="1" promptTitle="Ketersediaan Poskesede/Polindes" prompt="0: Tidak Ada_x000a_1: Ada" sqref="H595" xr:uid="{00000000-0002-0000-0100-0000AC030000}">
      <formula1>"0,1"</formula1>
    </dataValidation>
    <dataValidation type="list" showInputMessage="1" showErrorMessage="1" promptTitle="Kelompok Pertokoan" prompt="Ketersediaan kelompok pertokoan di Desa:_x000a_0 : Tidak Ada_x000a_1 : Ada" sqref="H1351" xr:uid="{00000000-0002-0000-0100-0000AE030000}">
      <formula1>"0,1"</formula1>
    </dataValidation>
    <dataValidation type="list" showInputMessage="1" showErrorMessage="1" promptTitle="Air Minum dari Sumur Bor/ Pompa" prompt="Keterangan:_x000a_0 : Tidak_x000a_1 : Ya" sqref="H887" xr:uid="{00000000-0002-0000-0100-0000AF030000}">
      <formula1>"0,1"</formula1>
    </dataValidation>
    <dataValidation type="list" showInputMessage="1" showErrorMessage="1" promptTitle="Sumber Air untuk Mandi dan Cuci" prompt="Air Sungai/ Danau/ Kolam_x000a_Keterangan_x000a_0 : Tidak_x000a_1 : Ya" sqref="H900" xr:uid="{00000000-0002-0000-0100-0000B0030000}">
      <formula1>"0,1"</formula1>
    </dataValidation>
    <dataValidation type="list" allowBlank="1" showInputMessage="1" showErrorMessage="1" promptTitle="Terdapat Tambang Pasir Batu" prompt="Ada_x000a_Tidak Ada" sqref="H360" xr:uid="{00000000-0002-0000-0100-0000B1030000}">
      <formula1>"Ada, Tidak Ada"</formula1>
    </dataValidation>
    <dataValidation type="whole" operator="greaterThanOrEqual" allowBlank="1" showInputMessage="1" showErrorMessage="1" promptTitle="Jumlah Pekerjaan PBK" prompt="Jumlah Pekerja Penyandang Kebutuhan Khusus Perempuan_x000a_(Terhitung Secara Otomatis)" sqref="H537" xr:uid="{00000000-0002-0000-0100-0000B3030000}">
      <formula1>0</formula1>
    </dataValidation>
    <dataValidation type="decimal" allowBlank="1" showInputMessage="1" showErrorMessage="1" promptTitle="Total Produksi Panen dalam 1 Thn" prompt="Sebutkan (Ton Per Tahun)" sqref="H1184" xr:uid="{00000000-0002-0000-0100-0000B4030000}">
      <formula1>0</formula1>
      <formula2>IF(H1038="Tidak ada",0,25000)</formula2>
    </dataValidation>
    <dataValidation type="list" allowBlank="1" showInputMessage="1" showErrorMessage="1" promptTitle="Buku Peraturan Desa" prompt="Diisi_x000a_Tidak Diisi" sqref="H2152" xr:uid="{00000000-0002-0000-0100-0000B5030000}">
      <formula1>IF($H$2150="Belum",Tidak_Diisi,Diisi)</formula1>
    </dataValidation>
    <dataValidation type="decimal" allowBlank="1" showInputMessage="1" showErrorMessage="1" error="Tidak Terdapat Produk Unggulan,_x000a_Diisi 0 (Nol)" promptTitle="Luas Lahan Tanaman " prompt="(Dalam Satuan Luas Ha)_x000a_1 Km2 = 100 Ha" sqref="H1131" xr:uid="{00000000-0002-0000-0100-0000B6030000}">
      <formula1>0</formula1>
      <formula2>IF(H1038="Tidak Ada",0,25000)</formula2>
    </dataValidation>
    <dataValidation allowBlank="1" showInputMessage="1" showErrorMessage="1" prompt="IDM 260" sqref="H1722" xr:uid="{00000000-0002-0000-0100-0000B7030000}"/>
    <dataValidation type="whole" operator="lessThanOrEqual" allowBlank="1" showInputMessage="1" showErrorMessage="1" promptTitle="Jarak BA T'dekat" prompt=" " sqref="H718" xr:uid="{00000000-0002-0000-0100-0000B8030000}">
      <formula1>25000</formula1>
    </dataValidation>
    <dataValidation type="list" showInputMessage="1" showErrorMessage="1" promptTitle="KUK" prompt="Terdapat fasilitas kredit berupa Kredit Usaha Kecil_x000a_0: Tidak Ada_x000a_1: Ada" sqref="H1392" xr:uid="{00000000-0002-0000-0100-0000B9030000}">
      <formula1>"0,1"</formula1>
    </dataValidation>
    <dataValidation type="whole" operator="lessThanOrEqual" allowBlank="1" showInputMessage="1" showErrorMessage="1" errorTitle="PERHATIKAN JUMLAH PENDUDUK" error="CEK JUMLAH PENDUDUK DI DESA, Tidak dapat Melebihi Jumlah Penduduk. Tidak Terdapat Tambang Tembaga_x000a_(Hanya diInput Angka)" promptTitle="Jlh Naker Lokal Tambang Tembaga" prompt=" (Diisi Angka)" sqref="H313" xr:uid="{00000000-0002-0000-0100-0000BA030000}">
      <formula1>IF(H310="tidak ada",0,$H$493)</formula1>
    </dataValidation>
    <dataValidation type="decimal" allowBlank="1" showInputMessage="1" showErrorMessage="1" prompt="IDM S 348.c" sqref="H1774" xr:uid="{00000000-0002-0000-0100-0000BB030000}">
      <formula1>0</formula1>
      <formula2>20</formula2>
    </dataValidation>
    <dataValidation allowBlank="1" showInputMessage="1" showErrorMessage="1" promptTitle=" " prompt="Agama Lainnya Selain yang Disebutkan" sqref="H785" xr:uid="{00000000-0002-0000-0100-0000BC030000}"/>
    <dataValidation type="list" allowBlank="1" showInputMessage="1" showErrorMessage="1" promptTitle="Buku Tanah Kas Desa" prompt="Diisi_x000a_Tidak Diisi" sqref="H2156" xr:uid="{00000000-0002-0000-0100-0000BD030000}">
      <formula1>IF($H$2150="Belum",Tidak_Diisi,Diisi)</formula1>
    </dataValidation>
    <dataValidation allowBlank="1" showInputMessage="1" showErrorMessage="1" promptTitle="Aktivitas Wisata Pemandian Umum" prompt="Contoh:_x000a_Berenang, Piknik, Olahraga" sqref="H183" xr:uid="{00000000-0002-0000-0100-0000BE030000}"/>
    <dataValidation type="list" allowBlank="1" showInputMessage="1" showErrorMessage="1" promptTitle="Konflik Antarkelompok Masyarakat" prompt="Ada_x000a_Tidak Ada" sqref="H1956" xr:uid="{00000000-0002-0000-0100-0000BF030000}">
      <formula1>IF(H1954="Tidak Ada",Tidak_Ada,Ada)</formula1>
    </dataValidation>
    <dataValidation type="list" allowBlank="1" showInputMessage="1" showErrorMessage="1" promptTitle="Layanan Tempat Praktik Dokter" prompt="Ada_x000a_Tidak Ada" sqref="H1848 H1829" xr:uid="{00000000-0002-0000-0100-0000C0030000}">
      <formula1>"Ada, Tidak Ada"</formula1>
    </dataValidation>
    <dataValidation type="list" allowBlank="1" showInputMessage="1" showErrorMessage="1" promptTitle="Layanan Pendampingan dari Luar" prompt="0: Tidak Ada Pendampingan_x000a_1: Tidak Optimal_x000a_2: Optimal_x000a_3: Sangat Optimal" sqref="H1516" xr:uid="{00000000-0002-0000-0100-0000C1030000}">
      <formula1>IF($H$1513=0,Tidak_tersedia,Rpublik)</formula1>
    </dataValidation>
    <dataValidation type="whole" operator="lessThanOrEqual" allowBlank="1" showInputMessage="1" showErrorMessage="1" error="Tidak Terdapat Gudang Pangan Milik Pemerintah di Desa._x000a_Diisi 0 (NOL)" sqref="H1382" xr:uid="{00000000-0002-0000-0100-0000C2030000}">
      <formula1>IF(H1380="tidak ada",0,25000)</formula1>
    </dataValidation>
    <dataValidation type="decimal" allowBlank="1" showInputMessage="1" showErrorMessage="1" promptTitle="Total Produksi Panen dalam 1 Thn" prompt="Sebutkan (Ton Per Tahun)" sqref="H1139" xr:uid="{00000000-0002-0000-0100-0000C3030000}">
      <formula1>0</formula1>
      <formula2>IF(H1038="Tidak ada",0,25000)</formula2>
    </dataValidation>
    <dataValidation type="whole" operator="lessThanOrEqual" allowBlank="1" showInputMessage="1" showErrorMessage="1" error="Tidak Terdapat Paud Diisi 0 (NOL)" promptTitle="Jlh PAUD Non Pemerintah" prompt="(Unit)" sqref="H709" xr:uid="{00000000-0002-0000-0100-0000C4030000}">
      <formula1>IF(H707=0,0,30)</formula1>
    </dataValidation>
    <dataValidation type="list" showInputMessage="1" showErrorMessage="1" promptTitle="Kantor Bumdesa Bersama di desa" prompt="Terdapat Kantor Bumdes Bersama di Desa_x000a_0: Tidak Ada_x000a_1: Ada" sqref="H1402" xr:uid="{00000000-0002-0000-0100-0000C5030000}">
      <formula1>"0,1"</formula1>
    </dataValidation>
    <dataValidation type="decimal" allowBlank="1" showInputMessage="1" showErrorMessage="1" promptTitle="Total Produksi Panen dalam 1 Thn" prompt="Sebutkan (Ton Per Tahun)" sqref="H1093" xr:uid="{00000000-0002-0000-0100-0000C6030000}">
      <formula1>0</formula1>
      <formula2>IF(H1038="Tidak ada",0,25000)</formula2>
    </dataValidation>
    <dataValidation type="list" allowBlank="1" showInputMessage="1" showErrorMessage="1" promptTitle="T'dapat Advokasi/Sosialisasi JKN" prompt="1: Tidak terdapat kegiatan sosialisasi dan/atau advokasi_x000a_5: Terdapat kegiatan sosialisasi dan/atau advokasi" sqref="H1875" xr:uid="{00000000-0002-0000-0100-0000C7030000}">
      <formula1>"1,5"</formula1>
    </dataValidation>
    <dataValidation type="list" allowBlank="1" showInputMessage="1" showErrorMessage="1" promptTitle="Status kelola Tambang Emas" prompt="Tidak Ada_x000a_Pemerintah_x000a_BUMN_x000a_BUMD_x000a_Swasta_x000a_Perorangan_x000a_Lainnya" sqref="H326" xr:uid="{00000000-0002-0000-0100-0000C8030000}">
      <formula1>IF($H322="tidak ada",Tidak_Ada,Tambang)</formula1>
    </dataValidation>
    <dataValidation type="list" allowBlank="1" showInputMessage="1" showErrorMessage="1" promptTitle="Jenis Musyawarah dalam 1 tahun" prompt="Musyawarah Terencana_x000a_Musyawarah Insidental_x000a_Musyawarah Terencana dan Insidental" sqref="H2218" xr:uid="{00000000-0002-0000-0100-0000C9030000}">
      <formula1>"Musyawarah Terencana, Musyawarah Insidental, Musyawarah Terencana dan Insidental"</formula1>
    </dataValidation>
    <dataValidation type="list" showInputMessage="1" showErrorMessage="1" promptTitle="Tdapat Bumdesa Perdagangan" prompt="Terdapat Bumdesa Perdagangan Bidang Perkebunan_x000a_0: Tidak Ada_x000a_1: Ada" sqref="H1417" xr:uid="{00000000-0002-0000-0100-0000CA030000}">
      <formula1>IF($H$1414=0,Tidak_tersedia,Tersedia)</formula1>
    </dataValidation>
    <dataValidation type="decimal" operator="lessThanOrEqual" allowBlank="1" showInputMessage="1" showErrorMessage="1" error="Tidak terdapat Perkebunan Teh._x000a_Diisi 0 (NOL)" promptTitle="Total Produksi dalam 1 Tahun" prompt="Sebutkan (Satuan Ton)_x000a_" sqref="H438" xr:uid="{00000000-0002-0000-0100-0000CB030000}">
      <formula1>IF(H434="Tidak ada",0,10000)</formula1>
    </dataValidation>
    <dataValidation type="list" allowBlank="1" showInputMessage="1" showErrorMessage="1" promptTitle="Terdapat Wisata Pegunungan" prompt="Ada_x000a_Tidak Ada" sqref="H124" xr:uid="{00000000-0002-0000-0100-0000CC030000}">
      <formula1>"Ada, Tidak Ada"</formula1>
    </dataValidation>
    <dataValidation type="decimal" operator="lessThanOrEqual" allowBlank="1" showInputMessage="1" showErrorMessage="1" promptTitle="Luas Hutan Negara kelola Tahura" prompt="(Dalam Satuan Luas Ha)_x000a_1 Km2 = 100 Ha" sqref="H256" xr:uid="{00000000-0002-0000-0100-0000CD030000}">
      <formula1>25000</formula1>
    </dataValidation>
    <dataValidation allowBlank="1" showInputMessage="1" showErrorMessage="1" promptTitle="Terdapat Pasar Desa Lainnya" prompt="Sebutkan" sqref="H1618" xr:uid="{00000000-0002-0000-0100-0000CE030000}"/>
    <dataValidation type="list" allowBlank="1" showInputMessage="1" showErrorMessage="1" promptTitle="Terdapat Tambang Golongan A Lain" prompt="Ada_x000a_Tidak Ada" sqref="H296" xr:uid="{00000000-0002-0000-0100-0000CF030000}">
      <formula1>"Ada, Tidak Ada"</formula1>
    </dataValidation>
    <dataValidation type="list" showInputMessage="1" showErrorMessage="1" promptTitle="Ketersedian Ruang Publik di Desa" prompt="Keterangan:_x000a_0 : Tidak Ada_x000a_1 : Ada" sqref="H734" xr:uid="{00000000-0002-0000-0100-0000D0030000}">
      <formula1>"0,1"</formula1>
    </dataValidation>
    <dataValidation type="custom" operator="lessThan" allowBlank="1" showInputMessage="1" showErrorMessage="1" errorTitle="Perhatikan Inputan Data" error="Jumlah KK MISKIN Melebihi TOTAL KEPALA KELUARGA di Desa" promptTitle="Jumlah Kepala Keluarga Miskin" prompt=" " sqref="H501" xr:uid="{00000000-0002-0000-0100-0000D1030000}">
      <formula1>(H500+H501)&lt;=H499</formula1>
    </dataValidation>
    <dataValidation type="decimal" allowBlank="1" showInputMessage="1" showErrorMessage="1" promptTitle="Total Produksi Panen dalam 1 Thn" prompt="Sebutkan (Ton Per Tahun)" sqref="H1087" xr:uid="{00000000-0002-0000-0100-0000D2030000}">
      <formula1>0</formula1>
      <formula2>IF(H1038="Tidak ada",0,25000)</formula2>
    </dataValidation>
    <dataValidation type="whole" operator="lessThanOrEqual" allowBlank="1" showInputMessage="1" showErrorMessage="1" promptTitle="Jlh Tunalaras &lt;20thn Sekolah" prompt=" " sqref="H696" xr:uid="{00000000-0002-0000-0100-0000D3030000}">
      <formula1>250</formula1>
    </dataValidation>
    <dataValidation type="list" allowBlank="1" showInputMessage="1" showErrorMessage="1" promptTitle="Ketersediaan Septic Tank" prompt="1. Tidak memiliki Septic Tank_x000a_3. Septic Tank  Bersama/Komunal_x000a_5. Septic Tank  Sendiri/Individu" sqref="H1884" xr:uid="{00000000-0002-0000-0100-0000D5030000}">
      <formula1>"1,3,5"</formula1>
    </dataValidation>
    <dataValidation type="decimal" allowBlank="1" showInputMessage="1" showErrorMessage="1" error="Tidak Terdapat Produk Unggulan,_x000a_Diisi 0 (Nol)" promptTitle="Luas Lahan Tanaman " prompt="(Dalam Satuan Luas Ha)_x000a_1 Km2 = 100 Ha" sqref="H1230" xr:uid="{00000000-0002-0000-0100-0000D6030000}">
      <formula1>0</formula1>
      <formula2>IF(H1038="Tidak Ada",0,25000)</formula2>
    </dataValidation>
    <dataValidation type="decimal" allowBlank="1" showInputMessage="1" showErrorMessage="1" error="Tidak Terdapat Produk Unggulan,_x000a_Diisi 0 (Nol)" promptTitle="Luas Lahan Tanaman " prompt="(Dalam Satuan Luas Ha)_x000a_1 Km2 = 100 Ha" sqref="H1227" xr:uid="{00000000-0002-0000-0100-0000D7030000}">
      <formula1>0</formula1>
      <formula2>IF(H1038="Tidak Ada",0,25000)</formula2>
    </dataValidation>
    <dataValidation type="list" showInputMessage="1" showErrorMessage="1" promptTitle="Kehadiran Warga Acara Perkawinan" prompt="Keterangan:_x000a_0 : Tidak_x000a_1 : Ya" sqref="H798" xr:uid="{00000000-0002-0000-0100-0000D8030000}">
      <formula1>"0,1"</formula1>
    </dataValidation>
    <dataValidation type="list" allowBlank="1" showInputMessage="1" showErrorMessage="1" promptTitle="Pihak Dampingan Wisata Embung" prompt="Tidak Ada_x000a_Pemerintah_x000a_BUMN_x000a_BUMD_x000a_Swasta (CSR)_x000a_Akademisi_x000a_Lainnya" sqref="H179" xr:uid="{00000000-0002-0000-0100-0000D9030000}">
      <formula1>IF(H175="tidak ada",Tidak_Ada,Pendamping_wisata)</formula1>
    </dataValidation>
    <dataValidation type="decimal" operator="lessThanOrEqual" allowBlank="1" showInputMessage="1" showErrorMessage="1" promptTitle="Total Produksi Panen dalam 1 Thn" prompt="Sebutkan (Ton Per Tahun)" sqref="H987" xr:uid="{00000000-0002-0000-0100-0000DA030000}">
      <formula1>IF(H960="tidak ada",0,25000)</formula1>
    </dataValidation>
    <dataValidation type="list" showInputMessage="1" showErrorMessage="1" promptTitle="Sumber Energi PJU dr EBT Non PLN" prompt="0: Tidak Ada_x000a_1: Ada" sqref="H929" xr:uid="{00000000-0002-0000-0100-0000DC030000}">
      <formula1>"0,1"</formula1>
    </dataValidation>
    <dataValidation allowBlank="1" showInputMessage="1" showErrorMessage="1" promptTitle="Terdapat KAUR yang Menjabat" prompt="Ada_x000a_Tidak Ada_x000a_(IDM 129.a/ 130.a/ 131.a)" sqref="H2194" xr:uid="{00000000-0002-0000-0100-0000DD030000}"/>
    <dataValidation type="decimal" allowBlank="1" showInputMessage="1" showErrorMessage="1" promptTitle="Luas Lahan Tanaman Jengkol" prompt="(Dalam Satuan Luas Ha)_x000a_1 Km2 = 100 Ha" sqref="H997" xr:uid="{00000000-0002-0000-0100-0000DE030000}">
      <formula1>0</formula1>
      <formula2>IF(H996="tidak ada",0,25000)</formula2>
    </dataValidation>
    <dataValidation allowBlank="1" showInputMessage="1" showErrorMessage="1" promptTitle="Peningkatan PADes" prompt="1: Menurun_x000a_2: Tetap_x000a_4: Ya, meningkat 0-1%_x000a_5: Ya, meningkat &gt;1%" sqref="H2238" xr:uid="{00000000-0002-0000-0100-0000DF030000}"/>
    <dataValidation type="whole" operator="lessThanOrEqual" allowBlank="1" showInputMessage="1" showErrorMessage="1" error="Tidak Terdapat Perkebunan Tebu. Diisi 0 (NOL)_x000a_Tidak Melebihi Jumlah Penduduk di Desa" promptTitle="Jlh Petani Perkebunan Tebu" prompt=" _x000a_" sqref="H457" xr:uid="{00000000-0002-0000-0100-0000E0030000}">
      <formula1>IF(H452="Tidak ada",0,$H$493)</formula1>
    </dataValidation>
    <dataValidation type="list" allowBlank="1" showInputMessage="1" showErrorMessage="1" promptTitle="Pelayanan dan Administrasi desa" prompt="1: Kurang dari hari kerja_x000a_3: Hanya di Hari Kerja_x000a_5: Setiap Hari" sqref="H2148" xr:uid="{00000000-0002-0000-0100-0000E1030000}">
      <formula1>"1,3,5"</formula1>
    </dataValidation>
    <dataValidation type="list" allowBlank="1" showInputMessage="1" showErrorMessage="1" promptTitle="Status Kelola Perkebunan Kina " prompt="Tidak Ada_x000a_Pemerintah_x000a_BUMN_x000a_BUMD_x000a_Swasta_x000a_Perorangan" sqref="H445" xr:uid="{00000000-0002-0000-0100-0000E2030000}">
      <formula1>IF(H443="Tidak ada",Tidak_Ada,kebun)</formula1>
    </dataValidation>
    <dataValidation type="whole" operator="lessThanOrEqual" allowBlank="1" showInputMessage="1" showErrorMessage="1" promptTitle="Waktu Tempuh PAUD T'dekat" prompt=" " sqref="H711" xr:uid="{00000000-0002-0000-0100-0000E3030000}">
      <formula1>120</formula1>
    </dataValidation>
    <dataValidation type="whole" operator="lessThanOrEqual" allowBlank="1" showInputMessage="1" showErrorMessage="1" promptTitle="Jlh Tunarungu" prompt=" " sqref="H847:H848" xr:uid="{00000000-0002-0000-0100-0000E4030000}">
      <formula1>50</formula1>
    </dataValidation>
    <dataValidation type="list" showInputMessage="1" showErrorMessage="1" promptTitle="Adanya Warga Beragama Lainnya" prompt="Keterangan:_x000a_0 : Tidak Ada_x000a_1 : Ada" sqref="H784" xr:uid="{00000000-0002-0000-0100-0000E5030000}">
      <formula1>"0,1"</formula1>
    </dataValidation>
    <dataValidation type="list" allowBlank="1" showInputMessage="1" showErrorMessage="1" promptTitle="Ketersediaan KUD" prompt="1: Tidak ada_x000a_5: Ada" sqref="H2064" xr:uid="{00000000-0002-0000-0100-0000E6030000}">
      <formula1>"1,5"</formula1>
    </dataValidation>
    <dataValidation allowBlank="1" showInputMessage="1" showErrorMessage="1" promptTitle="Nama Isntitusi yg Kerjasama" prompt=" " sqref="H1572" xr:uid="{00000000-0002-0000-0100-0000E8030000}"/>
    <dataValidation type="list" showInputMessage="1" showErrorMessage="1" promptTitle="Pencemaran Udara" prompt="Terjadi pencemaran udara_x000a_0: Tidak_x000a_1: Ya" sqref="H1481" xr:uid="{00000000-0002-0000-0100-0000E9030000}">
      <formula1>"0,1"</formula1>
    </dataValidation>
    <dataValidation type="list" allowBlank="1" showInputMessage="1" showErrorMessage="1" promptTitle="Hutan Negara dikelola BKSDA" prompt="Ada_x000a_Tidak Ada" sqref="H253" xr:uid="{00000000-0002-0000-0100-0000EA030000}">
      <formula1>"Ada, Tidak Ada"</formula1>
    </dataValidation>
    <dataValidation type="list" showInputMessage="1" showErrorMessage="1" promptTitle="Sumber Air untuk Mandi dan Cuci" prompt="Sumber Air Lainnya_x000a_Keterangan_x000a_0 : Tidak_x000a_1 : Ya" sqref="H902" xr:uid="{00000000-0002-0000-0100-0000EB030000}">
      <formula1>"0,1"</formula1>
    </dataValidation>
    <dataValidation type="whole" operator="lessThanOrEqual" allowBlank="1" showInputMessage="1" showErrorMessage="1" promptTitle="Bangunan Rumah Layak DD 2023" prompt="Input dengan Angka" sqref="H868" xr:uid="{00000000-0002-0000-0100-0000EC030000}">
      <formula1>500</formula1>
    </dataValidation>
    <dataValidation type="decimal" allowBlank="1" showInputMessage="1" showErrorMessage="1" error="Tidak Terdapat Produk Unggulan,_x000a_Diisi 0 (Nol)" promptTitle="Luas Lahan Tanaman " prompt="(Dalam Satuan Luas Ha)_x000a_1 Km2 = 100 Ha" sqref="H1171" xr:uid="{00000000-0002-0000-0100-0000EE030000}">
      <formula1>0</formula1>
      <formula2>IF(H1038="Tidak Ada",0,25000)</formula2>
    </dataValidation>
    <dataValidation type="decimal" allowBlank="1" showInputMessage="1" showErrorMessage="1" error="Tidak Terdapat Produk Unggulan,_x000a_Diisi 0 (Nol)" promptTitle="Luas Lahan Tanaman " prompt="(Dalam Satuan Luas Ha)_x000a_1 Km2 = 100 Ha" sqref="H1224" xr:uid="{00000000-0002-0000-0100-0000EF030000}">
      <formula1>0</formula1>
      <formula2>IF(H1038="Tidak Ada",0,25000)</formula2>
    </dataValidation>
    <dataValidation type="decimal" allowBlank="1" showInputMessage="1" showErrorMessage="1" error="Tidak Terdapat Produk Unggulan,_x000a_Diisi 0 (Nol)" promptTitle="Luas Lahan Tanaman " prompt="(Dalam Satuan Luas Ha)_x000a_1 Km2 = 100 Ha" sqref="H1089" xr:uid="{00000000-0002-0000-0100-0000F0030000}">
      <formula1>0</formula1>
      <formula2>IF(H1038="Tidak Ada",0,25000)</formula2>
    </dataValidation>
    <dataValidation type="list" showInputMessage="1" showErrorMessage="1" promptTitle="Air Minum dari Air Hujan" prompt="Keterangan:_x000a_0 : Tidak_x000a_1 : Ya" sqref="H891" xr:uid="{00000000-0002-0000-0100-0000F1030000}">
      <formula1>"0,1"</formula1>
    </dataValidation>
    <dataValidation type="list" allowBlank="1" showInputMessage="1" showErrorMessage="1" promptTitle="Trayek Tranportasi Perahu" prompt="Ada_x000a_Tidak Ada" sqref="H2142" xr:uid="{00000000-0002-0000-0100-0000F2030000}">
      <formula1>"Ada, Tidak Ada"</formula1>
    </dataValidation>
    <dataValidation type="list" allowBlank="1" showInputMessage="1" showErrorMessage="1" promptTitle="Tersedia Lapangan Voli" prompt="1: Tidak ada fasilitas_x000a_2: Ada, kondisi rusak parah_x000a_3: Ada, Kondisi rusak sedang_x000a_4: Ada, kondisi rusak ringan_x000a_5: Ada, kondisi baik" sqref="H1988" xr:uid="{00000000-0002-0000-0100-0000F3030000}">
      <formula1>"1,2,3,4,5"</formula1>
    </dataValidation>
    <dataValidation type="list" showInputMessage="1" showErrorMessage="1" promptTitle="Kerjasama Desa Eks PNPM" prompt="Terdapat Kerjasama Desa Eks PNPM_x000a_0: Tidak Ada_x000a_1: Ada" sqref="H1582" xr:uid="{00000000-0002-0000-0100-0000F4030000}">
      <formula1>"0,1"</formula1>
    </dataValidation>
    <dataValidation type="list" showInputMessage="1" showErrorMessage="1" promptTitle="Keterbukaan wilayah" prompt="Jalan Desa dapat dilalui kendaraan bermotor roda empat_x000a_0: Tidak Ada_x000a_1: Sepanjang tahun_x000a_2: Sepanjang tahun kecuali saat tertentu_x000a_3: Tidak dapat dilalui sepanjang tahun" sqref="H1469" xr:uid="{00000000-0002-0000-0100-0000F5030000}">
      <formula1>"0,1,2,3"</formula1>
    </dataValidation>
    <dataValidation allowBlank="1" showInputMessage="1" showErrorMessage="1" promptTitle="Terdapat Pencemaran Udara" prompt="1: Ada_x000a_0: Tidak_x000a_(IDM L 503.c)" sqref="H2095" xr:uid="{00000000-0002-0000-0100-0000FA030000}"/>
    <dataValidation type="list" showInputMessage="1" showErrorMessage="1" promptTitle="Tdapat Bumdesa Usaha" prompt="Terdapat Bumdesa Usaha Bidang Karaoke_x000a_0: Tidak Ada_x000a_1: Ada" sqref="H1441" xr:uid="{00000000-0002-0000-0100-0000FC030000}">
      <formula1>IF($H$1438=0,Tidak_tersedia,Tersedia)</formula1>
    </dataValidation>
    <dataValidation type="whole" operator="lessThanOrEqual" allowBlank="1" showInputMessage="1" showErrorMessage="1" promptTitle="Jlh Tunarungu &lt;20thn Sekolah" prompt=" " sqref="H694" xr:uid="{00000000-0002-0000-0100-0000FD030000}">
      <formula1>250</formula1>
    </dataValidation>
    <dataValidation type="list" allowBlank="1" showInputMessage="1" showErrorMessage="1" promptTitle="Sebagian Besar Warga Axis" prompt="Ada_x000a_Tidak Ada" sqref="H1921" xr:uid="{00000000-0002-0000-0100-0000FE030000}">
      <formula1>"Ada, Tidak Ada"</formula1>
    </dataValidation>
    <dataValidation type="whole" operator="lessThanOrEqual" allowBlank="1" showInputMessage="1" showErrorMessage="1" errorTitle="PERHATIKAN JUMLAH PENDUDUK" error="CEK JUMLAH PENDUDUK DI DESA, Tidak dapat Melebihi Jumlah Penduduk. Tidak Terdapat Tambang Pasir_x000a_(Hanya diInput Angka)" promptTitle="Jlh Naker Lokal Tambang Pasirl" prompt=" (Diisi Angka)" sqref="H357" xr:uid="{00000000-0002-0000-0100-000000040000}">
      <formula1>IF(H354="tidak ada",0,$H$493)</formula1>
    </dataValidation>
    <dataValidation type="whole" operator="lessThanOrEqual" allowBlank="1" showInputMessage="1" showErrorMessage="1" promptTitle="Jlh Tunadaksa &lt;20thn Sekolah" prompt=" " sqref="H698" xr:uid="{00000000-0002-0000-0100-000001040000}">
      <formula1>250</formula1>
    </dataValidation>
    <dataValidation type="decimal" allowBlank="1" showInputMessage="1" showErrorMessage="1" promptTitle="Total Produksi Panen dalam 1 Thn" prompt="Sebutkan (Ton Per Tahun)" sqref="H1216" xr:uid="{00000000-0002-0000-0100-000002040000}">
      <formula1>0</formula1>
      <formula2>IF(H1038="Tidak ada",0,25000)</formula2>
    </dataValidation>
    <dataValidation type="date" allowBlank="1" showInputMessage="1" showErrorMessage="1" promptTitle="Tanggal Isi Kuisioner" prompt="MM/DD/YYYY_x000a_Bulan/Tanggal/Tahun_x000a_Contoh:_x000a_3/14/2023 --&gt; (14 Maret 2023)" sqref="H7" xr:uid="{00000000-0002-0000-0100-000003040000}">
      <formula1>45292</formula1>
      <formula2>45657</formula2>
    </dataValidation>
    <dataValidation type="list" showInputMessage="1" showErrorMessage="1" promptTitle="Kredit lainnya" prompt="Terdapat fasilitas kredit lainnya_x000a_0: Tidak Ada_x000a_1: Ada" sqref="H1393" xr:uid="{00000000-0002-0000-0100-000004040000}">
      <formula1>"0,1"</formula1>
    </dataValidation>
    <dataValidation type="decimal" allowBlank="1" showInputMessage="1" showErrorMessage="1" promptTitle="Total Produksi Panen dalam 1 Thn" prompt="Sebutkan (Ton Per Tahun)" sqref="H1157" xr:uid="{00000000-0002-0000-0100-000005040000}">
      <formula1>0</formula1>
      <formula2>IF(H1038="Tidak ada",0,25000)</formula2>
    </dataValidation>
    <dataValidation type="list" allowBlank="1" showInputMessage="1" showErrorMessage="1" promptTitle="Pengguna Bagi Hasil Luar Kec" prompt="0: Tidak Ada_x000a_1: Pemberdayaan Masyarakat_x000a_2: Pembangunan_x000a_3: Perintahan_x000a_4: Budaya/ Agama_x000a_5: Olahraga_x000a_6: Lainnya" sqref="H1563" xr:uid="{00000000-0002-0000-0100-000006040000}">
      <formula1>"0,1,2,3,4,5,6"</formula1>
    </dataValidation>
    <dataValidation type="list" allowBlank="1" showInputMessage="1" showErrorMessage="1" promptTitle="Tersedia Mobil Pribadi" prompt="Ada_x000a_Tidak Ada" sqref="H1805" xr:uid="{00000000-0002-0000-0100-000007040000}">
      <formula1>"Ada, Tidak Ada"</formula1>
    </dataValidation>
    <dataValidation showInputMessage="1" showErrorMessage="1" promptTitle="Sumber air Lainnya" prompt="Sebutkan" sqref="H1478" xr:uid="{00000000-0002-0000-0100-000008040000}"/>
    <dataValidation allowBlank="1" showInputMessage="1" showErrorMessage="1" promptTitle="Kejadian Bencana" prompt="Ada_x000a_Tidak Ada_x000a_(IDM L 508.a)" sqref="H2101" xr:uid="{00000000-0002-0000-0100-000009040000}"/>
    <dataValidation type="decimal" operator="lessThanOrEqual" allowBlank="1" showInputMessage="1" showErrorMessage="1" error="Tidak terdapat Perkebunan Kelapa Sawit_x000a_Diisi 0 (NOL)" promptTitle="Total Produksi dalam 1 Tahun" prompt="Sebutkan (Satuan Ton)_x000a_" sqref="H411" xr:uid="{00000000-0002-0000-0100-00000A040000}">
      <formula1>IF(H407="Tidak ada",0,10000)</formula1>
    </dataValidation>
    <dataValidation allowBlank="1" showInputMessage="1" showErrorMessage="1" promptTitle="Akses ke Fasilitas Kesehatan" prompt="1: Sangat Sulit_x000a_2: Sulit_x000a_3: Sedang_x000a_4: Mudah_x000a_5: Sangat Mudah" sqref="H1815" xr:uid="{00000000-0002-0000-0100-00000B040000}"/>
    <dataValidation type="list" allowBlank="1" showInputMessage="1" showErrorMessage="1" promptTitle="Terdapat Keg OR Tenis Lapangan" prompt="1. Tidak terdapat Kegiatan_x000a_2. Terdapat 1 Kali Kegiatan_x000a_3. Terdapat 2-3 Kali Kegiatan_x000a_4. Terdapat 4-5 Kali Kegiatan_x000a_5. Terdapat &gt;5 Kali Kegiatan" sqref="H1948" xr:uid="{00000000-0002-0000-0100-00000C040000}">
      <formula1>"1,2,3,4,5"</formula1>
    </dataValidation>
    <dataValidation allowBlank="1" showInputMessage="1" showErrorMessage="1" prompt="Hari Besar Perayaan Adat Lainnya selain Disebutkan" sqref="H800" xr:uid="{00000000-0002-0000-0100-00000D040000}"/>
    <dataValidation type="list" allowBlank="1" showInputMessage="1" showErrorMessage="1" promptTitle="Status kelola Tambang Gol A Lain" prompt="Tidak Ada_x000a_Pemerintah_x000a_BUMN_x000a_BUMD_x000a_Swasta_x000a_Perorangan_x000a_Lainnya" sqref="H301" xr:uid="{00000000-0002-0000-0100-00000E040000}">
      <formula1>IF($H296="tidak ada",Tidak_Ada,Tambang)</formula1>
    </dataValidation>
    <dataValidation type="decimal" operator="lessThanOrEqual" allowBlank="1" showInputMessage="1" showErrorMessage="1" error="Tidak dapat Perkebunan Tembakau._x000a_Diisi 0 (NOL)" promptTitle="Luas Area Perkebunan Tembakau" prompt="(Dalam Satuan Luas Ha)_x000a_1 Km2 = 100 Ha" sqref="H462" xr:uid="{00000000-0002-0000-0100-00000F040000}">
      <formula1>IF(H461="Tidak ada",0,25000)</formula1>
    </dataValidation>
    <dataValidation type="list" allowBlank="1" showInputMessage="1" showErrorMessage="1" promptTitle="Layanan Bidan Rumah Bersalin" prompt="Ada_x000a_Tidak Ada" sqref="H1850" xr:uid="{00000000-0002-0000-0100-000010040000}">
      <formula1>"Ada, Tidak Ada"</formula1>
    </dataValidation>
    <dataValidation allowBlank="1" showInputMessage="1" showErrorMessage="1" promptTitle="Tokoh Agama Mnyelesaikan Konflik" prompt="1: Tidak Ada_x000a_5: Ada_x000a_(IDM S 378.e)" sqref="H1977" xr:uid="{00000000-0002-0000-0100-000011040000}"/>
    <dataValidation type="list" allowBlank="1" showInputMessage="1" showErrorMessage="1" promptTitle="Terdapat Karang Taruna" prompt="0: Tidak Ada_x000a_1: Ada_x000a_(IDM S 362.a)" sqref="H2205" xr:uid="{00000000-0002-0000-0100-000012040000}">
      <formula1>"0,1"</formula1>
    </dataValidation>
    <dataValidation type="list" allowBlank="1" showInputMessage="1" showErrorMessage="1" promptTitle="Terdapat Perkebunan Lainnya" prompt="Ada_x000a_Tidak Ada" sqref="H470" xr:uid="{00000000-0002-0000-0100-000013040000}">
      <formula1>"Ada, Tidak Ada"</formula1>
    </dataValidation>
    <dataValidation allowBlank="1" showInputMessage="1" showErrorMessage="1" promptTitle="PAUD/TK/Sederajat di Desa       " prompt="1: Tidak ada PAUD/TK/Sederajat_x000a_2: Terdapat 1 PAUD/TK/Sederajat_x000a_3: Terdapat 2 PAUD/TK/Sederajat_x000a_4: Terdapat 3-4 PAUD/TK/Sederajat_x000a_5: Terdapat &gt;=5 PAUD/TK/Sederajat" sqref="H1736" xr:uid="{00000000-0002-0000-0100-000014040000}"/>
    <dataValidation type="decimal" allowBlank="1" showInputMessage="1" showErrorMessage="1" error="Tidak Terdapat Produk Unggulan,_x000a_Diisi 0 (Nol)" promptTitle="Luas Lahan Tanaman " prompt="(Dalam Satuan Luas Ha)_x000a_1 Km2 = 100 Ha" sqref="H1165" xr:uid="{00000000-0002-0000-0100-000015040000}">
      <formula1>0</formula1>
      <formula2>IF(H1038="Tidak Ada",0,25000)</formula2>
    </dataValidation>
    <dataValidation type="decimal" allowBlank="1" showInputMessage="1" showErrorMessage="1" promptTitle="Total Produksi Panen dalam 1 Thn" prompt="Sebutkan (Ton Per Tahun)" sqref="H1071" xr:uid="{00000000-0002-0000-0100-000016040000}">
      <formula1>0</formula1>
      <formula2>IF(H1038="Tidak ada",0,25000)</formula2>
    </dataValidation>
    <dataValidation type="whole" operator="greaterThanOrEqual" allowBlank="1" showInputMessage="1" showErrorMessage="1" promptTitle="Bantuan Kab/Kota Tahun 2024" prompt=" " sqref="H1604" xr:uid="{00000000-0002-0000-0100-000017040000}">
      <formula1>0</formula1>
    </dataValidation>
    <dataValidation type="textLength" operator="lessThanOrEqual" allowBlank="1" showInputMessage="1" showErrorMessage="1" promptTitle="Wkt Tempuh Desa ke Ktr Bupati" prompt="diisi dalam ( ) Jam ( ) Menit_x000a__x000a_Contoh:_x000a_1 Jam 20 Menit_x000a_0 Jam 47 Menit" sqref="H1703" xr:uid="{00000000-0002-0000-0100-000018040000}">
      <formula1>23</formula1>
    </dataValidation>
    <dataValidation type="whole" allowBlank="1" showInputMessage="1" showErrorMessage="1" promptTitle="Tahun Pembentukan Bumdes" prompt="Input Menggunakan Angka" sqref="H1451" xr:uid="{00000000-0002-0000-0100-000019040000}">
      <formula1>1990</formula1>
      <formula2>2024</formula2>
    </dataValidation>
    <dataValidation type="list" allowBlank="1" showInputMessage="1" showErrorMessage="1" promptTitle="Terdapat Pasar Hewan" prompt="0: Tidak Ada_x000a_1: Ada" sqref="H1615" xr:uid="{00000000-0002-0000-0100-00001A040000}">
      <formula1>"0,1"</formula1>
    </dataValidation>
    <dataValidation type="whole" allowBlank="1" showInputMessage="1" showErrorMessage="1" promptTitle="Frek Kejadian Bencana" prompt="Kebakaran_x000a_(Kali/Tahun)" sqref="H1494" xr:uid="{00000000-0002-0000-0100-00001C040000}">
      <formula1>0</formula1>
      <formula2>24</formula2>
    </dataValidation>
    <dataValidation type="list" allowBlank="1" showInputMessage="1" showErrorMessage="1" promptTitle="Terdapat Gotong Royong Sosial" prompt="Ada_x000a_Tidak Ada" sqref="H1937" xr:uid="{00000000-0002-0000-0100-00001D040000}">
      <formula1>"Ada, Tidak Ada"</formula1>
    </dataValidation>
    <dataValidation type="list" allowBlank="1" showInputMessage="1" showErrorMessage="1" promptTitle="Terdapat Produk Unggulan Jengkol" prompt="Ada_x000a_Tidak Ada" sqref="H996" xr:uid="{00000000-0002-0000-0100-00001E040000}">
      <formula1>"Ada, Tidak Ada"</formula1>
    </dataValidation>
    <dataValidation type="list" allowBlank="1" showInputMessage="1" showErrorMessage="1" promptTitle="Terdapat Produk Unggulan Kentang" prompt="Ada_x000a_Tidak Ada" sqref="H1008" xr:uid="{00000000-0002-0000-0100-00001F040000}">
      <formula1>"Ada, Tidak Ada"</formula1>
    </dataValidation>
    <dataValidation type="decimal" allowBlank="1" showInputMessage="1" showErrorMessage="1" error="Tidak Terdapat Produk Unggulan,_x000a_Diisi 0 (Nol)" promptTitle="Luas Lahan Tanaman " prompt="(Dalam Satuan Luas Ha)_x000a_1 Km2 = 100 Ha" sqref="H1183" xr:uid="{00000000-0002-0000-0100-000020040000}">
      <formula1>0</formula1>
      <formula2>IF(H1038="Tidak Ada",0,25000)</formula2>
    </dataValidation>
    <dataValidation type="list" allowBlank="1" showInputMessage="1" showErrorMessage="1" promptTitle="Adanya PMKS Anak Terlantar" prompt="Keterangan:_x000a_0 : Tidak Ada_x000a_1 : Ada" sqref="H856" xr:uid="{00000000-0002-0000-0100-000021040000}">
      <formula1>"0,1"</formula1>
    </dataValidation>
    <dataValidation type="list" allowBlank="1" showInputMessage="1" showErrorMessage="1" promptTitle="Transportasi PUD/TK/Sederajat" prompt="Ada_x000a_Tidak Ada" sqref="H1740" xr:uid="{00000000-0002-0000-0100-000022040000}">
      <formula1>"Ada, Tidak Ada"</formula1>
    </dataValidation>
    <dataValidation type="list" allowBlank="1" showInputMessage="1" showErrorMessage="1" sqref="H1288 H1291" xr:uid="{00000000-0002-0000-0100-000023040000}">
      <formula1>$K$1136:$K$1159</formula1>
    </dataValidation>
    <dataValidation allowBlank="1" showInputMessage="1" showErrorMessage="1" promptTitle="Pengguna bagi hasil lainnya" prompt=" " sqref="H1564 H1590" xr:uid="{00000000-0002-0000-0100-000024040000}"/>
    <dataValidation type="whole" allowBlank="1" showInputMessage="1" showErrorMessage="1" error="Tidak terdapat Kelompok/ Organisasi/ Lembaga Nelayan._x000a_Max 24 kali/tahun" promptTitle="Jlh Frek Lembaga Nelayan" prompt="(Kali/Thn)" sqref="H749" xr:uid="{00000000-0002-0000-0100-000025040000}">
      <formula1>0</formula1>
      <formula2>IF(H748=0,0,24)</formula2>
    </dataValidation>
    <dataValidation type="decimal" operator="lessThanOrEqual" allowBlank="1" showInputMessage="1" showErrorMessage="1" error="Tidak Tedapat Tambang Golongan C Lainnya_x000a_Diisi 0 (NOL)" promptTitle="Luas Tambang Golongan C Lainnya" prompt="(Dalam Satuan Luas Ha)_x000a_1 Km2 = 100 Ha" sqref="H386" xr:uid="{00000000-0002-0000-0100-000026040000}">
      <formula1>IF(H384="Tidak Ada",0,25000)</formula1>
    </dataValidation>
    <dataValidation allowBlank="1" showInputMessage="1" showErrorMessage="1" promptTitle="Ketersediaan SD/MI/Sederajat" prompt="1: Tidak Ada SD/MI/Sederajat_x000a_2: Terdapat 1 SD/MI/Sederajat_x000a_3: Terdapat 2 SD/MI/Sederajat_x000a_4: Terdapat 3 SD/MI/Sederajat_x000a_5: Terdapat &gt;=4 SD/MI/Sederajat" sqref="H1748" xr:uid="{00000000-0002-0000-0100-000027040000}"/>
    <dataValidation type="decimal" allowBlank="1" showInputMessage="1" showErrorMessage="1" promptTitle="Total Produksi Panen dalam 1 Thn" prompt="Sebutkan (Ton Per Tahun)" sqref="H1172" xr:uid="{00000000-0002-0000-0100-000028040000}">
      <formula1>0</formula1>
      <formula2>IF(H1038="Tidak ada",0,25000)</formula2>
    </dataValidation>
    <dataValidation type="decimal" allowBlank="1" showInputMessage="1" showErrorMessage="1" promptTitle="Total Produksi Panen dalam 1 Thn" prompt="Sebutkan (Ton Per Tahun)" sqref="H1228" xr:uid="{00000000-0002-0000-0100-000029040000}">
      <formula1>0</formula1>
      <formula2>IF(H1038="Tidak ada",0,25000)</formula2>
    </dataValidation>
    <dataValidation type="list" allowBlank="1" showInputMessage="1" showErrorMessage="1" promptTitle="Dilaksanakan Adminsitrasi Umum" prompt="Sudah_x000a_Belum" sqref="H2150" xr:uid="{00000000-0002-0000-0100-00002A040000}">
      <formula1>"Sudah, Belum"</formula1>
    </dataValidation>
    <dataValidation allowBlank="1" showInputMessage="1" showErrorMessage="1" promptTitle="Nama Sekretaris Bumdesa" prompt=" " sqref="H1455" xr:uid="{00000000-0002-0000-0100-00002B040000}"/>
    <dataValidation type="list" allowBlank="1" showInputMessage="1" showErrorMessage="1" promptTitle="Tersedia Lapangan Futsal" prompt="1: Tidak ada fasilitas_x000a_2: Ada, kondisi rusak parah_x000a_3: Ada, Kondisi rusak sedang_x000a_4: Ada, kondisi rusak ringan_x000a_5: Ada, kondisi baik" sqref="H1992" xr:uid="{00000000-0002-0000-0100-00002C040000}">
      <formula1>"1,2,3,4,5"</formula1>
    </dataValidation>
    <dataValidation type="list" allowBlank="1" showInputMessage="1" showErrorMessage="1" promptTitle="Buku Kas Umum" prompt="Diisi_x000a_Tidak Diisi" sqref="H2172" xr:uid="{00000000-0002-0000-0100-00002D040000}">
      <formula1>IF($H$2167="Belum",Tidak_Diisi,Diisi)</formula1>
    </dataValidation>
    <dataValidation type="whole" allowBlank="1" showInputMessage="1" showErrorMessage="1" promptTitle="Nomor Telp Informan yg Aktif" prompt="Di isi tanpa awalan angka NOL (0)_x000a_contoh:_x000a_8171234567890" sqref="H16" xr:uid="{00000000-0002-0000-0100-00002E040000}">
      <formula1>8111111111</formula1>
      <formula2>88888888888</formula2>
    </dataValidation>
    <dataValidation type="list" operator="lessThanOrEqual" showInputMessage="1" showErrorMessage="1" promptTitle="Terdapat Wihara" prompt="Keterangan:_x000a_0 : Tidak Ada_x000a_1 : Ada" sqref="H789" xr:uid="{00000000-0002-0000-0100-00002F040000}">
      <formula1>"0,1"</formula1>
    </dataValidation>
    <dataValidation type="whole" operator="lessThanOrEqual" allowBlank="1" showInputMessage="1" showErrorMessage="1" error="Tidak Terdapat Perkebunan Kelapa Sawit. Diisi 0 (NOL)_x000a_Tidak Melebihi Jumlah Penduduk di Desa" promptTitle="Jlh Petani Perkebunan Klp Sawit" prompt=" _x000a_" sqref="H412" xr:uid="{00000000-0002-0000-0100-000030040000}">
      <formula1>IF(H407="Tidak ada",0,$H$493)</formula1>
    </dataValidation>
    <dataValidation type="list" allowBlank="1" showInputMessage="1" showErrorMessage="1" promptTitle="Unggulan 1 Pangan Pasar Domestik" prompt="-, (Lainnya), Padi, Jagung, Kedelai, Kacang Tanah, Kacang Hijau, Ubi Jalar, Ubi Kayu, Melinjo, Pete, Jengkol, Talas, Merica, Kentang, Wortel, Sorgum, Sagu, Gandum, Sukun" sqref="H1274" xr:uid="{00000000-0002-0000-0100-000031040000}">
      <formula1>$K$959:$K$978</formula1>
    </dataValidation>
    <dataValidation type="whole" allowBlank="1" showInputMessage="1" showErrorMessage="1" error="Tidak terdapat kelompok Olahraga" promptTitle="Jlh Kelompok Olahraga" prompt=" " sqref="H775" xr:uid="{00000000-0002-0000-0100-000032040000}">
      <formula1>0</formula1>
      <formula2>IF(H774=0,0,20)</formula2>
    </dataValidation>
    <dataValidation allowBlank="1" showInputMessage="1" showErrorMessage="1" promptTitle="Kearifan Lokal/Budaya utk Ekonom" prompt="1: Tidak Ada_x000a_5: Ada_x000a_(IDM S 357.a)" sqref="H2023" xr:uid="{00000000-0002-0000-0100-000033040000}"/>
    <dataValidation allowBlank="1" showInputMessage="1" showErrorMessage="1" promptTitle="Pihak Kelola P'kebunan Klp Sawit" prompt="Sebutkan_x000a_" sqref="H410" xr:uid="{00000000-0002-0000-0100-000034040000}"/>
    <dataValidation type="list" allowBlank="1" showInputMessage="1" showErrorMessage="1" promptTitle="Kualitas Air Minum Warga Desa" prompt="1: Tidak Layak (Berbau, Berwarna, &amp; Berasa)_x000a_5: Kualitas Layak (Tidak Berbau, Berwarna, &amp; Berasa)" sqref="H1899" xr:uid="{00000000-0002-0000-0100-000035040000}">
      <formula1>"1,5"</formula1>
    </dataValidation>
    <dataValidation type="list" allowBlank="1" showInputMessage="1" showErrorMessage="1" promptTitle="Hutan Negara dikelola Inhutani" prompt="Ada_x000a_Tidak Ada" sqref="H248" xr:uid="{00000000-0002-0000-0100-000036040000}">
      <formula1>"Ada, Tidak Ada"</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Buruh Pabrik" prompt="Jumlah Pekerja Buruh Pabrik Laki-Laki" sqref="H517" xr:uid="{00000000-0002-0000-0100-000037040000}">
      <formula1>($H$511+$H$512+$H$513+$H$514+$H$515+$H$516+$H$517+$H$518+$H$519+$H$520+$H$521+$H$522+$H$523+$H$524+$H$525+$H$526+$H$527+$H$528+$H$529+$H$530+$H$531+$H$532+$H$533+$H$534+$H$535)&lt;=$H$493</formula1>
    </dataValidation>
    <dataValidation type="list" allowBlank="1" showInputMessage="1" showErrorMessage="1" promptTitle="Dampingan Wisata Seni &amp; Tradisi" prompt="Tidak Ada_x000a_Pemerintah_x000a_BUMN_x000a_BUMD_x000a_Swasta (CSR)_x000a_Akademisi_x000a_Lainnya" sqref="H230" xr:uid="{00000000-0002-0000-0100-000038040000}">
      <formula1>IF(H226="tidak ada",Tidak_Ada,Pendamping_wisata)</formula1>
    </dataValidation>
    <dataValidation type="list" allowBlank="1" showInputMessage="1" showErrorMessage="1" promptTitle="Tersedia Perahu" prompt="Ada_x000a_Tidak Ada" sqref="H1807" xr:uid="{00000000-0002-0000-0100-000039040000}">
      <formula1>"Ada, Tidak Ada"</formula1>
    </dataValidation>
    <dataValidation type="whole" operator="lessThanOrEqual" allowBlank="1" showInputMessage="1" showErrorMessage="1" error="Tidak Terdapat Wisata Budaya,_x000a_Diisi 0 (Nol)" promptTitle="Jlh Naker Desa Wisata Budaya" prompt="Isi dengan Angka" sqref="H211" xr:uid="{00000000-0002-0000-0100-00003A040000}">
      <formula1>IF(H205="tidak ada",0,10000)</formula1>
    </dataValidation>
    <dataValidation allowBlank="1" showInputMessage="1" showErrorMessage="1" promptTitle="Ketersediaan SMP/MTs/Sederajat" prompt="1: Tidak Ada SMP/MTs/Sederajat_x000a_5: Terdapat &gt;=1 SMP/MTs/Sederajat" sqref="H1760" xr:uid="{00000000-0002-0000-0100-00003B040000}"/>
    <dataValidation type="list" allowBlank="1" showInputMessage="1" showErrorMessage="1" promptTitle="Dampingan Wisata Pemandian Umum" prompt="Tidak Ada_x000a_Pemerintah_x000a_BUMN_x000a_BUMD_x000a_Swasta (CSR)_x000a_Akademisi_x000a_Lainnya" sqref="H186" xr:uid="{00000000-0002-0000-0100-00003C040000}">
      <formula1>IF(H182="tidak ada",Tidak_Ada,Pendamping_wisata)</formula1>
    </dataValidation>
    <dataValidation type="whole" operator="lessThanOrEqual" allowBlank="1" showInputMessage="1" showErrorMessage="1" error="Bukan Desa Peternakan" promptTitle="Jlh Mayoritas alat P'tanian Desa" prompt="Input Menggunakan Angka" sqref="H1347" xr:uid="{00000000-0002-0000-0100-00003D040000}">
      <formula1>IF(H1346=12,0,100)</formula1>
    </dataValidation>
    <dataValidation type="decimal" operator="lessThanOrEqual" allowBlank="1" showInputMessage="1" showErrorMessage="1" error="Tidak dapat Perkebunan Tebu_x000a_Diisi 0 (NOL)" promptTitle="Luas Area Perkebunan Tebu" prompt="(Dalam Satuan Luas Ha)_x000a_1 Km2 = 100 Ha" sqref="H453" xr:uid="{00000000-0002-0000-0100-00003E040000}">
      <formula1>IF(H452="Tidak ada",0,25000)</formula1>
    </dataValidation>
    <dataValidation type="whole" operator="lessThanOrEqual" allowBlank="1" showInputMessage="1" showErrorMessage="1" error="Bukan Desa Pertanian" promptTitle="Jlh Mayoritas alat P'tanian Desa" prompt="Input Menggunakan Angka" sqref="H1345" xr:uid="{00000000-0002-0000-0100-00003F040000}">
      <formula1>IF(H1344=12,0,100)</formula1>
    </dataValidation>
    <dataValidation type="list" allowBlank="1" showInputMessage="1" showErrorMessage="1" promptTitle="Layanan PAUD/TK/Sederajat" prompt="Pemerintah_x000a_Swasta_x000a_Masyarakat" sqref="H1737" xr:uid="{00000000-0002-0000-0100-000040040000}">
      <formula1>"Pemerintah, Swasta, Masyarakat"</formula1>
    </dataValidation>
    <dataValidation type="list" allowBlank="1" showInputMessage="1" showErrorMessage="1" promptTitle="Status kelola Tambang Batu Bara" prompt="Tidak Ada_x000a_Pemerintah_x000a_BUMN_x000a_BUMD_x000a_Swasta_x000a_Perorangan_x000a_Lainnya" sqref="H288" xr:uid="{00000000-0002-0000-0100-000041040000}">
      <formula1>IF($H284="tidak ada",Tidak_Ada,Tambang)</formula1>
    </dataValidation>
    <dataValidation type="whole" operator="lessThanOrEqual" allowBlank="1" showInputMessage="1" showErrorMessage="1" promptTitle="Sisa Rumah Tidak Layak Huni 2023" prompt="Terisi dari Unggah Template Rumah Tidak Layak Huni" sqref="H869" xr:uid="{00000000-0002-0000-0100-000042040000}">
      <formula1>500</formula1>
    </dataValidation>
    <dataValidation type="decimal" operator="lessThanOrEqual" allowBlank="1" showInputMessage="1" showErrorMessage="1" error="Tidak dapat Perkebunan Teh_x000a_Diisi 0 (NOL)" promptTitle="Luas Area Perkebunan Teh" prompt="(Dalam Satuan Luas Ha)_x000a_1 Km2 = 100 Ha" sqref="H435" xr:uid="{00000000-0002-0000-0100-000043040000}">
      <formula1>IF(H434="Tidak ada",0,25000)</formula1>
    </dataValidation>
    <dataValidation allowBlank="1" showInputMessage="1" showErrorMessage="1" promptTitle="Adanya Lembaga lainnya" prompt="(Sebutkan)" sqref="H757" xr:uid="{00000000-0002-0000-0100-000044040000}"/>
    <dataValidation allowBlank="1" showInputMessage="1" showErrorMessage="1" promptTitle="Jenis Konflik" prompt="Jenis Konflik Lainnya, Sebutkan" sqref="H813" xr:uid="{00000000-0002-0000-0100-000046040000}"/>
    <dataValidation type="list" operator="lessThanOrEqual" showInputMessage="1" showErrorMessage="1" promptTitle="Tdpt Lembaga/Organisasi Lainnya?" prompt="Keterangan:_x000a_0 : Tidak Ada_x000a_1 : Ada" sqref="H756" xr:uid="{00000000-0002-0000-0100-000047040000}">
      <formula1>"0,1"</formula1>
    </dataValidation>
    <dataValidation type="decimal" allowBlank="1" showInputMessage="1" showErrorMessage="1" error="Tidak Terdapat Produk Unggulan,_x000a_Diisi 0 (Nol)" promptTitle="Luas Lahan Tanaman " prompt="(Dalam Satuan Luas Ha)_x000a_1 Km2 = 100 Ha" sqref="H1045" xr:uid="{00000000-0002-0000-0100-000048040000}">
      <formula1>0</formula1>
      <formula2>IF(H1038="Tidak Ada",0,25000)</formula2>
    </dataValidation>
    <dataValidation type="list" allowBlank="1" showInputMessage="1" showErrorMessage="1" promptTitle="Tersedia Merek Dagang" prompt="1: Merek dagang tidak terdaftar_x000a_5: Merek dagang terdaftar" sqref="H2014" xr:uid="{00000000-0002-0000-0100-000049040000}">
      <formula1>"1,5"</formula1>
    </dataValidation>
    <dataValidation type="list" allowBlank="1" showInputMessage="1" showErrorMessage="1" promptTitle="Angkutan Umum Darat" prompt="Ada_x000a_Tidak Ada" sqref="H1464" xr:uid="{00000000-0002-0000-0100-00004B040000}">
      <formula1>IF(H$1463=3,Tidak_Ada,Ada)</formula1>
    </dataValidation>
    <dataValidation type="whole" operator="lessThanOrEqual" allowBlank="1" showInputMessage="1" showErrorMessage="1" promptTitle="Jlh Tunanetra" prompt=" " sqref="H845:H846" xr:uid="{00000000-0002-0000-0100-00004C040000}">
      <formula1>50</formula1>
    </dataValidation>
    <dataValidation type="list" allowBlank="1" showInputMessage="1" showErrorMessage="1" promptTitle="Terdapat Produk Unggulan Kedelai" prompt="Ada_x000a_Tidak Ada" sqref="H968" xr:uid="{00000000-0002-0000-0100-00004D040000}">
      <formula1>"Ada, Tidak Ada"</formula1>
    </dataValidation>
    <dataValidation type="list" allowBlank="1" showInputMessage="1" showErrorMessage="1" promptTitle="Terdapat Produk Unggulan Wortel" prompt="Ada_x000a_Tidak Ada" sqref="H1012" xr:uid="{00000000-0002-0000-0100-00004F040000}">
      <formula1>"Ada, Tidak Ada"</formula1>
    </dataValidation>
    <dataValidation type="decimal" allowBlank="1" showInputMessage="1" showErrorMessage="1" error="Tidak Terdapat Produk Unggulan,_x000a_Diisi 0 (Nol)" promptTitle="Luas Lahan Tanaman " prompt="(Dalam Satuan Luas Ha)_x000a_1 Km2 = 100 Ha" sqref="H1141" xr:uid="{00000000-0002-0000-0100-000050040000}">
      <formula1>0</formula1>
      <formula2>IF(H1038="Tidak Ada",0,25000)</formula2>
    </dataValidation>
    <dataValidation type="list" allowBlank="1" showInputMessage="1" showErrorMessage="1" promptTitle="Akses Sinyal Internet di Desa" prompt="1: Tidak ada akses sinyal_x000a_2: Terdapat akses 2G dan lainnya_x000a_4: Terdapat akses 3G_x000a_5: Terdapat akses 5G dan 4G" sqref="H1916" xr:uid="{00000000-0002-0000-0100-000051040000}">
      <formula1>IF($H$1915=1,Non_listrik,Ada_listrik)</formula1>
    </dataValidation>
    <dataValidation type="decimal" allowBlank="1" showInputMessage="1" showErrorMessage="1" promptTitle="Total Produksi Panen dalam 1 Thn" prompt="Sebutkan (Ton Per Tahun)" sqref="H1142" xr:uid="{00000000-0002-0000-0100-000053040000}">
      <formula1>0</formula1>
      <formula2>IF(H1038="Tidak ada",0,25000)</formula2>
    </dataValidation>
    <dataValidation type="decimal" allowBlank="1" showInputMessage="1" showErrorMessage="1" promptTitle="Total Produksi Panen dalam 1 Thn" prompt="Sebutkan (Ton Per Tahun)" sqref="H1255" xr:uid="{00000000-0002-0000-0100-000054040000}">
      <formula1>0</formula1>
      <formula2>IF(H1038="Tidak ada",0,25000)</formula2>
    </dataValidation>
    <dataValidation type="decimal" operator="greaterThanOrEqual" allowBlank="1" showInputMessage="1" showErrorMessage="1" promptTitle="Jrk Desa ke ktr Bupati/Walikota" prompt="Jarak Diukur dari Kantor Desa ke Kantor Bupati/ Walikota" sqref="H1702" xr:uid="{00000000-0002-0000-0100-000055040000}">
      <formula1>0</formula1>
    </dataValidation>
    <dataValidation type="list" allowBlank="1" showInputMessage="1" showErrorMessage="1" promptTitle="Terdapat Gotong Royong Ekonomi" prompt="Ada_x000a_Tidak Ada" sqref="H1939" xr:uid="{00000000-0002-0000-0100-000056040000}">
      <formula1>"Ada, Tidak Ada"</formula1>
    </dataValidation>
    <dataValidation type="decimal" allowBlank="1" showInputMessage="1" showErrorMessage="1" error="Tidak Terdapat Produk Unggulan,_x000a_Diisi 0 (Nol)" promptTitle="Luas Lahan Tanaman " prompt="(Dalam Satuan Luas Ha)_x000a_1 Km2 = 100 Ha" sqref="H1080" xr:uid="{00000000-0002-0000-0100-000057040000}">
      <formula1>0</formula1>
      <formula2>IF(H1038="Tidak Ada",0,25000)</formula2>
    </dataValidation>
    <dataValidation type="list" showInputMessage="1" showErrorMessage="1" promptTitle="Peringatan Dini Tsunami" prompt="Terdapat fasilitas mitigasi bencana alam di Desa berupa sistem peringatan dini khusus tsunami_x000a_0: Tidak Ada_x000a_1: Ada" sqref="H1499" xr:uid="{00000000-0002-0000-0100-000059040000}">
      <formula1>"0,1"</formula1>
    </dataValidation>
    <dataValidation type="whole" operator="lessThanOrEqual" allowBlank="1" showInputMessage="1" showErrorMessage="1" promptTitle="Jlh Fasilitas Lap Sepak Bola" prompt="(Unit)" sqref="H767" xr:uid="{00000000-0002-0000-0100-00005A040000}">
      <formula1>5</formula1>
    </dataValidation>
    <dataValidation type="list" allowBlank="1" showInputMessage="1" showErrorMessage="1" promptTitle="Catat Adminsitrasi Kependudukan" prompt="Sudah_x000a_Belum" sqref="H2160" xr:uid="{00000000-0002-0000-0100-00005B040000}">
      <formula1>"Sudah, Belum"</formula1>
    </dataValidation>
    <dataValidation type="list" allowBlank="1" showInputMessage="1" showErrorMessage="1" promptTitle="Ketersediaan Informasi Bencana" prompt="1: Tidak tersedia data kejadian bencana, indeks resiko bencana dan peta rawan bencana_x000a_5: Tersedia data kejadian bencana, indeks resiko bencana dan peta rawan bencana" sqref="H2111" xr:uid="{00000000-0002-0000-0100-00005C040000}">
      <formula1>"1,5"</formula1>
    </dataValidation>
    <dataValidation type="whole" operator="lessThanOrEqual" allowBlank="1" showInputMessage="1" showErrorMessage="1" promptTitle="Jlh Mikro kecil-Perikanan" prompt="Input Menggunakan Angka" sqref="H1337" xr:uid="{00000000-0002-0000-0100-00005D040000}">
      <formula1>100</formula1>
    </dataValidation>
    <dataValidation type="list" allowBlank="1" showInputMessage="1" showErrorMessage="1" promptTitle="Desa Konstitusi" prompt="Ya_x000a_Tidak" sqref="H112" xr:uid="{00000000-0002-0000-0100-00005E040000}">
      <formula1>"Ya, Tidak"</formula1>
    </dataValidation>
    <dataValidation type="list" allowBlank="1" showInputMessage="1" showErrorMessage="1" promptTitle="Jam Operasional Angkot" prompt="Jam operasional angkutan umum utama_x000a_0: Tidak Ada_x000a_1: Siang &amp; malam hari_x000a_2: Hanya siang hari" sqref="H1468" xr:uid="{00000000-0002-0000-0100-00005F040000}">
      <formula1>IF($H$1463=3,Tidak_tersedia,BPJS)</formula1>
    </dataValidation>
    <dataValidation type="whole" operator="lessThanOrEqual" allowBlank="1" showInputMessage="1" showErrorMessage="1" promptTitle="Jlh Tunarungu &lt;20thn tdk sklh" prompt=" " sqref="H695" xr:uid="{00000000-0002-0000-0100-000062040000}">
      <formula1>250</formula1>
    </dataValidation>
    <dataValidation type="decimal" allowBlank="1" showInputMessage="1" showErrorMessage="1" promptTitle="Total Produksi Panen dalam 1 Thn" prompt="Sebutkan (Ton Per Tahun)" sqref="H1108" xr:uid="{00000000-0002-0000-0100-000063040000}">
      <formula1>0</formula1>
      <formula2>IF(H1038="Tidak ada",0,25000)</formula2>
    </dataValidation>
    <dataValidation type="list" allowBlank="1" showInputMessage="1" showErrorMessage="1" promptTitle="Tersedia Angkutan Umum" prompt="Ada_x000a_Tidak Ada" sqref="H1804" xr:uid="{00000000-0002-0000-0100-000064040000}">
      <formula1>"Ada, Tidak Ada"</formula1>
    </dataValidation>
    <dataValidation type="decimal" operator="lessThanOrEqual" allowBlank="1" showInputMessage="1" showErrorMessage="1" promptTitle="Total Produksi Panen dalam 1 Thn" prompt="Sebutkan (Ton Per Tahun)" sqref="H1023" xr:uid="{00000000-0002-0000-0100-000065040000}">
      <formula1>IF(H960="tidak ada",0,25000)</formula1>
    </dataValidation>
    <dataValidation type="whole" operator="lessThanOrEqual" allowBlank="1" showInputMessage="1" showErrorMessage="1" error="Tidak Terdapat Gudang Pangan Milik Pemerintah di Desa._x000a_Diisi 0 (NOL)" sqref="H1381" xr:uid="{00000000-0002-0000-0100-000066040000}">
      <formula1>IF(H1380="tidak ada",0,50)</formula1>
    </dataValidation>
    <dataValidation type="decimal" allowBlank="1" showInputMessage="1" showErrorMessage="1" error="Tidak Terdapat Produk Unggulan,_x000a_Diisi 0 (Nol)" promptTitle="Total Produksi Panen dalam 1 Thn" prompt="Sebutkan (Ton Per Tahun)" sqref="H1285" xr:uid="{00000000-0002-0000-0100-000067040000}">
      <formula1>0</formula1>
      <formula2>IF(LEN(H1274)&lt;3,0,25000)</formula2>
    </dataValidation>
    <dataValidation type="list" allowBlank="1" showInputMessage="1" showErrorMessage="1" promptTitle="Konflik Kelompok Masy antar desa" prompt="Ada_x000a_Tidak Ada" sqref="H1958" xr:uid="{00000000-0002-0000-0100-000068040000}">
      <formula1>IF($H$1954="Tidak Ada",Tidak_Ada,Ada)</formula1>
    </dataValidation>
    <dataValidation type="list" allowBlank="1" showInputMessage="1" showErrorMessage="1" promptTitle="Buku Kas Pembantu Kegiatan" prompt="Diisi_x000a_Tidak Diisi" sqref="H2171" xr:uid="{00000000-0002-0000-0100-00006A040000}">
      <formula1>IF($H$2167="Belum",Tidak_Diisi,Diisi)</formula1>
    </dataValidation>
    <dataValidation type="decimal" allowBlank="1" showInputMessage="1" showErrorMessage="1" promptTitle="Luas Lahan Tanaman Pangan" prompt="(Dalam Satuan Luas Ha)_x000a_1 Km2 = 100 Ha" sqref="H961" xr:uid="{00000000-0002-0000-0100-00006B040000}">
      <formula1>0</formula1>
      <formula2>IF(H960="tidak ada",0,25000)</formula2>
    </dataValidation>
    <dataValidation type="decimal" operator="lessThanOrEqual" allowBlank="1" showInputMessage="1" showErrorMessage="1" error="Tidak terdapat Perkebunan Kopi._x000a_Diisi 0 (NOL)" promptTitle="Total Produksi dalam 1 Tahun" prompt="Sebutkan (Satuan Ton)_x000a_" sqref="H429" xr:uid="{00000000-0002-0000-0100-00006C040000}">
      <formula1>IF(H425="Tidak ada",0,10000)</formula1>
    </dataValidation>
    <dataValidation type="list" allowBlank="1" showInputMessage="1" showErrorMessage="1" promptTitle="Kearifan Aktivitas Ekonomi Desa" prompt="1: Tidak aktif (tidak memiliki produk/jasa yang dihasilkan)_x000a_5: Aktif (memiliki produk/jasa yang dihasilkan)" sqref="H2010" xr:uid="{00000000-0002-0000-0100-00006D040000}">
      <formula1>"1,5"</formula1>
    </dataValidation>
    <dataValidation type="whole" operator="lessThanOrEqual" allowBlank="1" showInputMessage="1" showErrorMessage="1" promptTitle="Jlh Mikro kecil-Peternakan" prompt="Input Menggunakan Angka" sqref="H1339" xr:uid="{00000000-0002-0000-0100-00006E040000}">
      <formula1>100</formula1>
    </dataValidation>
    <dataValidation type="list" allowBlank="1" showInputMessage="1" showErrorMessage="1" promptTitle="Jaringan Internet Indosat" prompt="Tidak Ada_x000a_2G/ 2.5G/ GPRS/ EDGE_x000a_3G/ 3.5G/ HSDPA/ EVDO_x000a_4G LTE_x000a_5G" sqref="H935" xr:uid="{00000000-0002-0000-0100-00006F040000}">
      <formula1>IF($H$934=0,Tidak_Ada,sinyal)</formula1>
    </dataValidation>
    <dataValidation type="list" showInputMessage="1" showErrorMessage="1" promptTitle="Bank Swasta" prompt="Terdapat bank swasta di Desa _x000a_0: Tidak Ada_x000a_1: Ada" sqref="H1387" xr:uid="{00000000-0002-0000-0100-000070040000}">
      <formula1>"0,1"</formula1>
    </dataValidation>
    <dataValidation type="list" allowBlank="1" showInputMessage="1" showErrorMessage="1" promptTitle="Sebagaian Besar Warga BAB" prompt="Keterangan:_x000a_1 : Jamban Sendiri_x000a_2 : Jamban Bersama_x000a_3 : Jamban Umum_x000a_4 : Bukan Jamban" sqref="H905" xr:uid="{00000000-0002-0000-0100-000071040000}">
      <formula1>"1,2,3,4"</formula1>
    </dataValidation>
    <dataValidation type="whole" operator="lessThanOrEqual" allowBlank="1" showInputMessage="1" showErrorMessage="1" promptTitle="Jlh Mikro kecil-Pertanian" prompt="Input Menggunakan Angka" sqref="H1338" xr:uid="{00000000-0002-0000-0100-000072040000}">
      <formula1>100</formula1>
    </dataValidation>
    <dataValidation type="list" allowBlank="1" showInputMessage="1" showErrorMessage="1" promptTitle="Metode Publikasi Informa/Layanan" prompt="Secara Digital_x000a_Secara Konvensional" sqref="H2215" xr:uid="{00000000-0002-0000-0100-000073040000}">
      <formula1>"Secara Digital, Secara Konvensional"</formula1>
    </dataValidation>
    <dataValidation type="list" showInputMessage="1" showErrorMessage="1" promptTitle="Bumdesa" prompt="Terdapat BumDesa di Desa_x000a_0: Tidak Ada_x000a_1: Ada" sqref="H1397" xr:uid="{00000000-0002-0000-0100-000074040000}">
      <formula1>"0,1"</formula1>
    </dataValidation>
    <dataValidation type="whole" operator="lessThanOrEqual" allowBlank="1" showInputMessage="1" showErrorMessage="1" error="Tidak Terdapat Wisata Pemandian Sumber Air Panas._x000a_Diisi 0 (Nol)" promptTitle="Jlh Naker Desa Wisata Air Panas" prompt="Isi dengan Angka" sqref="H165" xr:uid="{00000000-0002-0000-0100-000075040000}">
      <formula1>IF(H159="tidak ada",0,10000)</formula1>
    </dataValidation>
    <dataValidation type="list" allowBlank="1" showInputMessage="1" showErrorMessage="1" promptTitle="ada tidaknya Musyawarah Desa" prompt="Keterangan:_x000a_0 : Tidak Ada_x000a_1 : Ada" sqref="H759" xr:uid="{00000000-0002-0000-0100-000076040000}">
      <formula1>"0,1"</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Wiraswasta" prompt="Jumlah Pekerja Wiraswasta Laki-Laki" sqref="H523" xr:uid="{00000000-0002-0000-0100-000077040000}">
      <formula1>($H$511+$H$512+$H$513+$H$514+$H$515+$H$516+$H$517+$H$518+$H$519+$H$520+$H$521+$H$522+$H$523+$H$524+$H$525+$H$526+$H$527+$H$528+$H$529+$H$530+$H$531+$H$532+$H$533+$H$534+$H$535)&lt;=$H$493</formula1>
    </dataValidation>
    <dataValidation type="whole" operator="lessThanOrEqual" allowBlank="1" showInputMessage="1" showErrorMessage="1" errorTitle="PERHATIKAN JUMLAH PENDUDUK" error="CEK JUMLAH PENDUDUK DI DESA, Tidak dapat Melebihi Jumlah Penduduk._x000a_Tidak Terdapat Tambang Pasir Batu_x000a_(Hanya diInput Angka)" promptTitle="Jlh Naker Tambang Pasir Batu" prompt=" (Diisi Angka)" sqref="H362" xr:uid="{00000000-0002-0000-0100-000078040000}">
      <formula1>IF(H360="tidak ada",0,$H$493)</formula1>
    </dataValidation>
    <dataValidation allowBlank="1" showInputMessage="1" showErrorMessage="1" promptTitle="Pihak Kelola Tambang Gol C Lain" prompt="Sebutkan_x000a_" sqref="H390" xr:uid="{00000000-0002-0000-0100-000079040000}"/>
    <dataValidation type="list" allowBlank="1" showInputMessage="1" showErrorMessage="1" promptTitle="Terdapat Bangunan Balai Desa" prompt="0: Tidak Ada_x000a_1: Ada" sqref="H1613" xr:uid="{00000000-0002-0000-0100-00007A040000}">
      <formula1>"0,1"</formula1>
    </dataValidation>
    <dataValidation type="decimal" allowBlank="1" showInputMessage="1" showErrorMessage="1" promptTitle="Total Produksi Panen dalam 1 Thn" prompt="Sebutkan (Ton Per Tahun)" sqref="H1261" xr:uid="{00000000-0002-0000-0100-00007B040000}">
      <formula1>0</formula1>
      <formula2>IF(H1038="Tidak ada",0,25000)</formula2>
    </dataValidation>
    <dataValidation type="whole" operator="lessThanOrEqual" allowBlank="1" showInputMessage="1" showErrorMessage="1" error="Tidak Terdapat Perkebunan Kina. Diisi 0 (NOL)_x000a_Tidak Melebihi Jumlah Penduduk di Desa" promptTitle="Jlh Petani Perkebunan Kina" prompt=" _x000a_" sqref="H449" xr:uid="{00000000-0002-0000-0100-00007C040000}">
      <formula1>IF(H443="Tidak ada",0,$H$493)</formula1>
    </dataValidation>
    <dataValidation type="list" allowBlank="1" showInputMessage="1" showErrorMessage="1" promptTitle="Terdapat Tambang Tembaga" prompt="Ada_x000a_Tidak Ada" sqref="H310" xr:uid="{00000000-0002-0000-0100-00007D040000}">
      <formula1>"Ada, Tidak Ada"</formula1>
    </dataValidation>
    <dataValidation type="decimal" allowBlank="1" showInputMessage="1" showErrorMessage="1" error="Tidak Terdapat Produk Unggulan Tanaman Pangan Lainnya, Diisi 0 (Nol)" promptTitle="Total Produksi Panen dalam 1 Thn" prompt="Sebutkan (Ton Per Tahun)" sqref="H1035" xr:uid="{00000000-0002-0000-0100-00007E040000}">
      <formula1>0</formula1>
      <formula2>IF(H1032="Tidak Ada",0,25000)</formula2>
    </dataValidation>
    <dataValidation allowBlank="1" showInputMessage="1" showErrorMessage="1" promptTitle="Pihak kelola Tambang Gas Alam" prompt="Sebutkan_x000a_" sqref="H277" xr:uid="{00000000-0002-0000-0100-00007F040000}"/>
    <dataValidation type="list" allowBlank="1" showInputMessage="1" showErrorMessage="1" promptTitle="Status Layanan Fasilitas Kredit" prompt="1: Tidak resmi_x000a_5: Resmi" sqref="H2073" xr:uid="{00000000-0002-0000-0100-000080040000}">
      <formula1>"1,5"</formula1>
    </dataValidation>
    <dataValidation allowBlank="1" showInputMessage="1" showErrorMessage="1" promptTitle="Ketersediaan UMKM" prompt="1: Tidak ada_x000a_5: Ada_x000a_(IDM E 515.g)" sqref="H2065" xr:uid="{00000000-0002-0000-0100-000082040000}"/>
    <dataValidation type="list" allowBlank="1" showInputMessage="1" showErrorMessage="1" promptTitle="Bumdes/Bumdesma berbadan hukum" prompt="1: Belum berbadan hukum_x000a_5: Sudah berbadan hukum" sqref="H2060" xr:uid="{00000000-0002-0000-0100-000084040000}">
      <formula1>IF($H$2059=1,Septi_tank1,Septic_tank5)</formula1>
    </dataValidation>
    <dataValidation type="whole" operator="lessThanOrEqual" allowBlank="1" showInputMessage="1" showErrorMessage="1" promptTitle="Jlh Mikro kecil-Lainnya" prompt="Input Menggunakan Angka" sqref="H1340" xr:uid="{00000000-0002-0000-0100-000085040000}">
      <formula1>100</formula1>
    </dataValidation>
    <dataValidation type="decimal" operator="lessThanOrEqual" allowBlank="1" showInputMessage="1" showErrorMessage="1" error="Tidak dapat Perkebunan Kina._x000a_Diisi 0 (NOL)" promptTitle="Luas Area Perkebunan Kina" prompt="(Dalam Satuan Luas Ha)_x000a_1 Km2 = 100 Ha" sqref="H444" xr:uid="{00000000-0002-0000-0100-000086040000}">
      <formula1>IF(H443="Tidak ada",0,25000)</formula1>
    </dataValidation>
    <dataValidation type="list" showInputMessage="1" showErrorMessage="1" promptTitle="Bank Pemerintah" prompt="Terdapat bank umum pemerintah di Desa_x000a_0: Tidak Ada_x000a_1: Ada" sqref="H1385" xr:uid="{00000000-0002-0000-0100-000087040000}">
      <formula1>"0,1"</formula1>
    </dataValidation>
    <dataValidation type="whole" allowBlank="1" showInputMessage="1" showErrorMessage="1" promptTitle="Waktu Tempuh (Menit) ke Kedai/RM" prompt="(Diisi Angka)" sqref="H2042" xr:uid="{00000000-0002-0000-0100-000088040000}">
      <formula1>0</formula1>
      <formula2>180</formula2>
    </dataValidation>
    <dataValidation type="list" showInputMessage="1" showErrorMessage="1" promptTitle="Tdapat Bumdesa Pariwisata" prompt="Terdapat Bumdesa Parawisita Bidang Transportasi_x000a_0: Tidak Ada_x000a_1: Ada" sqref="H1446" xr:uid="{00000000-0002-0000-0100-000089040000}">
      <formula1>IF($H$1442=0,Tidak_tersedia,Tersedia)</formula1>
    </dataValidation>
    <dataValidation operator="greaterThan" allowBlank="1" showInputMessage="1" showErrorMessage="1" promptTitle="Besaran Dana Desa" prompt="IDM 801.b2" sqref="H2240" xr:uid="{00000000-0002-0000-0100-00008B040000}"/>
    <dataValidation type="list" allowBlank="1" showInputMessage="1" showErrorMessage="1" promptTitle="Terdapat Wisata Seni &amp; Tradisi" prompt="Ada_x000a_Tidak Ada" sqref="H226" xr:uid="{00000000-0002-0000-0100-00008C040000}">
      <formula1>"Ada, Tidak Ada"</formula1>
    </dataValidation>
    <dataValidation type="list" allowBlank="1" showInputMessage="1" showErrorMessage="1" promptTitle="Tersedia Produk Unggulan Desa" prompt="1: Tidak Ada_x000a_5: Ada" sqref="H2012" xr:uid="{00000000-0002-0000-0100-00008D040000}">
      <formula1>"1,5"</formula1>
    </dataValidation>
    <dataValidation type="list" allowBlank="1" showInputMessage="1" showErrorMessage="1" promptTitle="Terdapat Keg OR Futsal" prompt="1. Tidak terdapat Kegiatan_x000a_2. Terdapat 1 Kali Kegiatan_x000a_3. Terdapat 2-3 Kali Kegiatan_x000a_4. Terdapat 4-5 Kali Kegiatan_x000a_5. Terdapat &gt;5 Kali Kegiatan" sqref="H1949" xr:uid="{00000000-0002-0000-0100-00008E040000}">
      <formula1>"1,2,3,4,5"</formula1>
    </dataValidation>
    <dataValidation type="decimal" allowBlank="1" showInputMessage="1" showErrorMessage="1" error="Tidak Terdapat Kantor Pos/ Pos Pembantu/ Rumah Pos/ Pos Keliling di Desa._x000a_Diisi 0 (NOL)" promptTitle="Jarak Kantor Pos T'dekat" prompt="(Meter)" sqref="H1368" xr:uid="{00000000-0002-0000-0100-00008F040000}">
      <formula1>0</formula1>
      <formula2>IF(H1367=0,0,25000)</formula2>
    </dataValidation>
    <dataValidation type="decimal" operator="lessThanOrEqual" allowBlank="1" showInputMessage="1" showErrorMessage="1" error="Tidak Tedapat Tambang Minyak Bumi_x000a_Diisi 0 (NOL)" promptTitle="Luas Tambang Minyak Bumi" prompt="(Dalam Satuan Luas Ha)_x000a_1 Km2 = 100 Ha" sqref="H267" xr:uid="{00000000-0002-0000-0100-000090040000}">
      <formula1>IF(H266="Tidak Ada",0,25000)</formula1>
    </dataValidation>
    <dataValidation type="list" allowBlank="1" showInputMessage="1" showErrorMessage="1" promptTitle="Terdapat Produk Unggulan Padi" prompt="Ada_x000a_Tidak Ada" sqref="H960" xr:uid="{00000000-0002-0000-0100-000091040000}">
      <formula1>"Ada, Tidak Ada"</formula1>
    </dataValidation>
    <dataValidation type="textLength" operator="equal" allowBlank="1" showInputMessage="1" showErrorMessage="1" error="Isi NIK dengan Benar" promptTitle="Nomor Induk Kependudukan (NIK)" prompt="Nomor KTP" sqref="H9" xr:uid="{00000000-0002-0000-0100-000093040000}">
      <formula1>16</formula1>
    </dataValidation>
    <dataValidation type="list" allowBlank="1" showInputMessage="1" showErrorMessage="1" promptTitle="Terdapat Wisata Sungai" prompt="Ada_x000a_Tidak Ada" sqref="H145" xr:uid="{00000000-0002-0000-0100-000094040000}">
      <formula1>"Ada, Tidak Ada"</formula1>
    </dataValidation>
    <dataValidation type="list" allowBlank="1" showInputMessage="1" showErrorMessage="1" promptTitle="Kearifan Budaya dipertahankan" prompt="1: Tidak ada yang dipertahankan_x000a_3: Kurang dari 3 yang dipertahankan_x000a_5: Lebih dari 3 yang dipertahankan" sqref="H1932" xr:uid="{00000000-0002-0000-0100-000095040000}">
      <formula1>"1,3,5"</formula1>
    </dataValidation>
    <dataValidation type="whole" operator="greaterThanOrEqual" allowBlank="1" showInputMessage="1" showErrorMessage="1" promptTitle="ADD Tahun 2023" prompt=" " sqref="H1601" xr:uid="{00000000-0002-0000-0100-000096040000}">
      <formula1>0</formula1>
    </dataValidation>
    <dataValidation allowBlank="1" showInputMessage="1" showErrorMessage="1" promptTitle="Akses Menuju Fasilitas Posyandu" prompt="1: Sangat Sulit_x000a_2: Sulit_x000a_3: Sedang_x000a_4: Mudah_x000a_5: Sangat Mudah" sqref="H1823" xr:uid="{00000000-0002-0000-0100-000097040000}"/>
    <dataValidation type="decimal" operator="lessThanOrEqual" allowBlank="1" showInputMessage="1" showErrorMessage="1" promptTitle="Jarak ke Pertokoan (Meter)" prompt="Jarak menuju kelompok pertokoan di Desa (dalam Meter)" sqref="H1352" xr:uid="{00000000-0002-0000-0100-000098040000}">
      <formula1>150000</formula1>
    </dataValidation>
    <dataValidation type="list" showInputMessage="1" showErrorMessage="1" promptTitle="Ketersediaan Pos PAUD" prompt="Keterangan:_x000a_0 : Tidak Ada_x000a_1 : Ada" sqref="H707" xr:uid="{00000000-0002-0000-0100-000099040000}">
      <formula1>"0,1"</formula1>
    </dataValidation>
    <dataValidation type="list" allowBlank="1" showInputMessage="1" showErrorMessage="1" promptTitle="Kearifan Lokal/Budaya utk Ekonom" prompt="1: Tidak Ada_x000a_5: Ada" sqref="H2016" xr:uid="{00000000-0002-0000-0100-00009A040000}">
      <formula1>"1,5"</formula1>
    </dataValidation>
    <dataValidation type="whole" operator="greaterThanOrEqual" allowBlank="1" showInputMessage="1" showErrorMessage="1" promptTitle="Total Ketua RW" prompt="Ketua RW Perempuan_x000a_(Terisi dari Unggah Template Staf Petugas Desa dan Lembaga Kemasayarakatan Desa)" sqref="H88" xr:uid="{00000000-0002-0000-0100-00009B040000}">
      <formula1>0</formula1>
    </dataValidation>
    <dataValidation type="list" operator="lessThanOrEqual" showInputMessage="1" showErrorMessage="1" promptTitle="Terdapat Pura" prompt="Keterangan:_x000a_0 : Tidak Ada_x000a_1 : Ada" sqref="H790" xr:uid="{00000000-0002-0000-0100-00009C040000}">
      <formula1>"0,1"</formula1>
    </dataValidation>
    <dataValidation type="decimal" allowBlank="1" showInputMessage="1" showErrorMessage="1" error="Tidak Terdapat Produk Unggulan,_x000a_Diisi 0 (Nol)" promptTitle="Total Produksi Panen dalam 1 Thn" prompt="Sebutkan (Ton Per Tahun)" sqref="H1328" xr:uid="{00000000-0002-0000-0100-00009D040000}">
      <formula1>0</formula1>
      <formula2>IF(LEN(H1274)&lt;3,0,25000)</formula2>
    </dataValidation>
    <dataValidation type="custom" operator="greaterThanOrEqual" allowBlank="1" showInputMessage="1" showErrorMessage="1" error="ISI dengan Angka_x000a_Tidak Bisa Lebih besar dari jumlah KK" promptTitle="Jumlah KK Sumber Listrik Non PLN" prompt="(KK)" sqref="H915" xr:uid="{00000000-0002-0000-0100-00009E040000}">
      <formula1>($H$914+$H$915+$H$916)&lt;=$H$499</formula1>
    </dataValidation>
    <dataValidation type="custom" operator="greaterThanOrEqual" allowBlank="1" showInputMessage="1" showErrorMessage="1" promptTitle="Jlh KK BAB Bukan Jamban" prompt="Input dengan angka" sqref="H909" xr:uid="{00000000-0002-0000-0100-00009F040000}">
      <formula1>($H$906+$H$907+$H$908+$H$909)&lt;=$H$499</formula1>
    </dataValidation>
    <dataValidation type="list" allowBlank="1" showInputMessage="1" showErrorMessage="1" promptTitle="Terdapat Tambang Belerang" prompt="Ada_x000a_Tidak Ada" sqref="H316" xr:uid="{00000000-0002-0000-0100-0000A0040000}">
      <formula1>"Ada, Tidak Ada"</formula1>
    </dataValidation>
    <dataValidation type="decimal" operator="lessThanOrEqual" allowBlank="1" showInputMessage="1" showErrorMessage="1" promptTitle="Jarak Poskesdes/ Polindes Tdekat" prompt="(Meter)" sqref="H596" xr:uid="{00000000-0002-0000-0100-0000A1040000}">
      <formula1>300000</formula1>
    </dataValidation>
    <dataValidation type="list" allowBlank="1" showInputMessage="1" showErrorMessage="1" promptTitle="Terdapat Kejahatan Penipuan" prompt="Keterangan:_x000a_0 : Tidak Ada_x000a_1 : Ada" sqref="H830" xr:uid="{00000000-0002-0000-0100-0000A3040000}">
      <formula1>"0,1"</formula1>
    </dataValidation>
    <dataValidation type="list" allowBlank="1" showInputMessage="1" showErrorMessage="1" promptTitle="Penyedia Keterampilan Kursus" prompt="Pemerintah_x000a_Swasta_x000a_Masyarakat" sqref="H2025" xr:uid="{00000000-0002-0000-0100-0000A4040000}">
      <formula1>"Pemerintah, Swasta, Masyarakat"</formula1>
    </dataValidation>
    <dataValidation type="list" allowBlank="1" showInputMessage="1" showErrorMessage="1" promptTitle="Kondisi KK  Rumah Non Permanen" prompt="1. Baik_x000a_2. Sedang_x000a_3. Rusak" sqref="H882" xr:uid="{00000000-0002-0000-0100-0000A5040000}">
      <formula1>"1,2,3"</formula1>
    </dataValidation>
    <dataValidation type="whole" operator="greaterThanOrEqual" allowBlank="1" showInputMessage="1" showErrorMessage="1" promptTitle="Lain-lain Tahun 2023" prompt=" " sqref="H1607" xr:uid="{00000000-0002-0000-0100-0000A6040000}">
      <formula1>0</formula1>
    </dataValidation>
    <dataValidation type="decimal" allowBlank="1" showInputMessage="1" showErrorMessage="1" error="Tidak Terdapat Produk Unggulan,_x000a_Diisi 0 (Nol)" promptTitle="Total Produksi Panen dalam 1 Thn" prompt="Sebutkan (Ton Per Tahun)" sqref="H1314" xr:uid="{00000000-0002-0000-0100-0000A7040000}">
      <formula1>0</formula1>
      <formula2>IF(LEN(H1274)&lt;3,0,25000)</formula2>
    </dataValidation>
    <dataValidation allowBlank="1" showInputMessage="1" showErrorMessage="1" promptTitle="Akses SD/MI/Sederajat" prompt="1: Sangat Sulit_x000a_2: Sulit_x000a_3: Sedang_x000a_4: Mudah_x000a_5: Sangat Mudah" sqref="H1753" xr:uid="{00000000-0002-0000-0100-0000A8040000}"/>
    <dataValidation type="whole" operator="greaterThanOrEqual" allowBlank="1" showInputMessage="1" showErrorMessage="1" promptTitle="ADD Tahun 2024" prompt=" " sqref="H1600" xr:uid="{00000000-0002-0000-0100-0000A9040000}">
      <formula1>0</formula1>
    </dataValidation>
    <dataValidation type="custom" operator="greaterThanOrEqual" allowBlank="1" showInputMessage="1" showErrorMessage="1" promptTitle="Jlh KK Miliki Rumah Non Permanen" prompt="Input Dengan Angka" sqref="H881" xr:uid="{00000000-0002-0000-0100-0000AA040000}">
      <formula1>(($H$877+$H$879+$H$881)&lt;=$H$875)</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Buruh" prompt="Jumlah Pekerja Buruh/ Nelayan Perempuan" sqref="H516" xr:uid="{00000000-0002-0000-0100-0000AB040000}">
      <formula1>($H$511+$H$512+$H$513+$H$514+$H$515+$H$516+$H$517+$H$518+$H$519+$H$520+$H$521+$H$522+$H$523+$H$524+$H$525+$H$526+$H$527+$H$528+$H$529+$H$530+$H$531+$H$532+$H$533+$H$534+$H$535)&lt;=$H$493</formula1>
    </dataValidation>
    <dataValidation allowBlank="1" showInputMessage="1" showErrorMessage="1" promptTitle="Kejadian Bencana" prompt="Ada_x000a_Tidak Ada_x000a_(IDM L 508.d)" sqref="H2104" xr:uid="{00000000-0002-0000-0100-0000AD040000}"/>
    <dataValidation type="list" showInputMessage="1" showErrorMessage="1" promptTitle="Status Bumdesa Bersama" prompt="Status Bumdesa Bersama di Desa_x000a_0: Tidak Aktif_x000a_1: Aktif" sqref="H1403" xr:uid="{00000000-0002-0000-0100-0000AE040000}">
      <formula1>IF($H$1400=0,Tidak_tersedia,Tersedia)</formula1>
    </dataValidation>
    <dataValidation type="list" allowBlank="1" showInputMessage="1" showErrorMessage="1" promptTitle="Terdapat Keg OR Voli" prompt="1. Tidak terdapat Kegiatan_x000a_2. Terdapat 1 Kali Kegiatan_x000a_3. Terdapat 2-3 Kali Kegiatan_x000a_4. Terdapat 4-5 Kali Kegiatan_x000a_5. Terdapat &gt;5 Kali Kegiatan" sqref="H1945" xr:uid="{00000000-0002-0000-0100-0000AF040000}">
      <formula1>"1,2,3,4,5"</formula1>
    </dataValidation>
    <dataValidation type="decimal" allowBlank="1" showInputMessage="1" showErrorMessage="1" promptTitle="Total Produksi Panen dalam 1 Thn" prompt="Sebutkan (Ton Per Tahun)" sqref="H1102" xr:uid="{00000000-0002-0000-0100-0000B0040000}">
      <formula1>0</formula1>
      <formula2>IF(H1038="Tidak ada",0,25000)</formula2>
    </dataValidation>
    <dataValidation type="list" showInputMessage="1" showErrorMessage="1" promptTitle="Terdapat Kelmpk Lembaga Nelayan?" prompt="Keterangan:_x000a_0 : Tidak Ada_x000a_1 : Ada" sqref="H748" xr:uid="{00000000-0002-0000-0100-0000B1040000}">
      <formula1>"0,1"</formula1>
    </dataValidation>
    <dataValidation type="whole" operator="lessThanOrEqual" allowBlank="1" showInputMessage="1" showErrorMessage="1" promptTitle="Jlh Pasar Permanen" prompt="(Unit)" sqref="H1353" xr:uid="{00000000-0002-0000-0100-0000B2040000}">
      <formula1>5</formula1>
    </dataValidation>
    <dataValidation allowBlank="1" showInputMessage="1" showErrorMessage="1" promptTitle="Kondisi Ruang Publik Terbuka" prompt="1: Rata-rata tidak terdapat fasilitas_x000a_2: Rata-rata kondisi rusak parah_x000a_3: Rata-rata Kondisi rusak sedang_x000a_4: Rata-rata kondisi rusak ringan_x000a_5: Rata-rata kondisi baik" sqref="H1997" xr:uid="{00000000-0002-0000-0100-0000B3040000}"/>
    <dataValidation type="list" allowBlank="1" showInputMessage="1" showErrorMessage="1" promptTitle="Tersedia Lapangan Bulutangkis" prompt="1: Tidak ada fasilitas_x000a_2: Ada, kondisi rusak parah_x000a_3: Ada, Kondisi rusak sedang_x000a_4: Ada, kondisi rusak ringan_x000a_5: Ada, kondisi baik" sqref="H1989" xr:uid="{00000000-0002-0000-0100-0000B4040000}">
      <formula1>"1,2,3,4,5"</formula1>
    </dataValidation>
    <dataValidation type="whole" operator="lessThanOrEqual" allowBlank="1" showInputMessage="1" showErrorMessage="1" errorTitle="PERHATIKAN JUMLAH PENDUDUK" error="CEK JUMLAH PENDUDUK DI DESA, Tidak dapat Melebihi Jumlah Penduduk. Tidak Terdapat Tambang Batu Bara_x000a_(Hanya diInput Angka)" promptTitle="Jlh Naker Lokal Tambang Minyak B" prompt=" (Diisi Angka)" sqref="H287" xr:uid="{00000000-0002-0000-0100-0000B5040000}">
      <formula1>IF(H284="tidak ada",0,$H$493)</formula1>
    </dataValidation>
    <dataValidation type="list" operator="lessThanOrEqual" showInputMessage="1" showErrorMessage="1" promptTitle="Terdapat Gereja Katolik" prompt="Keterangan:_x000a_0 : Tidak Ada_x000a_1 : Ada" sqref="H788" xr:uid="{00000000-0002-0000-0100-0000B6040000}">
      <formula1>"0,1"</formula1>
    </dataValidation>
    <dataValidation type="list" allowBlank="1" showInputMessage="1" showErrorMessage="1" promptTitle="Terdapat Tambang Perak" prompt="Ada_x000a_Tidak Ada" sqref="H328" xr:uid="{00000000-0002-0000-0100-0000B7040000}">
      <formula1>"Ada, Tidak Ada"</formula1>
    </dataValidation>
    <dataValidation type="decimal" allowBlank="1" showInputMessage="1" showErrorMessage="1" promptTitle="Total Produksi Panen dalam 1 Thn" prompt="Sebutkan (Ton Per Tahun)" sqref="H1049" xr:uid="{00000000-0002-0000-0100-0000B8040000}">
      <formula1>0</formula1>
      <formula2>IF(H1038="Tidak ada",0,25000)</formula2>
    </dataValidation>
    <dataValidation type="list" allowBlank="1" showInputMessage="1" showErrorMessage="1" promptTitle="Aset Berupa Kantor Desa" prompt="1: Tidak Ada_x000a_3: Ada, tidak produktif untuk Kepentingan Masyarakat_x000a_5: Ada, produktif untuk Kepentingan Masyarakat_x000a_(IDM 901.b)" sqref="H2246" xr:uid="{00000000-0002-0000-0100-0000B9040000}">
      <formula1>IF($H$1612=1,damai,Non_listrik)</formula1>
    </dataValidation>
    <dataValidation type="list" allowBlank="1" showInputMessage="1" showErrorMessage="1" promptTitle="Terdapat Wisata Pantai" prompt="Ada_x000a_Tidak Ada" sqref="H117" xr:uid="{00000000-0002-0000-0100-0000BA040000}">
      <formula1>"Ada, Tidak Ada"</formula1>
    </dataValidation>
    <dataValidation type="list" showInputMessage="1" showErrorMessage="1" promptTitle="Kehadiran Warga Acara Kelahiran" prompt="Keterangan:_x000a_0 : Tidak_x000a_1 : Ya" sqref="H796" xr:uid="{00000000-0002-0000-0100-0000BB040000}">
      <formula1>"0,1"</formula1>
    </dataValidation>
    <dataValidation type="custom" operator="lessThanOrEqual" allowBlank="1" showInputMessage="1" showErrorMessage="1" errorTitle="Perhatikan Inputan Data" error="Total Penduduk Berdasarkan Struktur Usia Tidak Bisa Lebih Besar dari Total Penduduk di Desa" promptTitle="Penduduk Berdasarkan Usia" prompt="19-59 Tahun" sqref="H508" xr:uid="{00000000-0002-0000-0100-0000BC040000}">
      <formula1>SUM($H$503:$H$509)&lt;=$H$493</formula1>
    </dataValidation>
    <dataValidation type="list" allowBlank="1" showInputMessage="1" showErrorMessage="1" promptTitle="Angkutan Umum Air/Laut" prompt="Ada_x000a_Tidak Ada" sqref="H1465" xr:uid="{00000000-0002-0000-0100-0000BD040000}">
      <formula1>IF(H$1463=3,Tidak_Ada,Ada)</formula1>
    </dataValidation>
    <dataValidation type="whole" allowBlank="1" showInputMessage="1" showErrorMessage="1" error="Tidak lebih besar dari Jumlah rumah" promptTitle="Jumlah Rumah Memiliki Jamban" prompt="(Diisi Angka)" sqref="H1880" xr:uid="{00000000-0002-0000-0100-0000BF040000}">
      <formula1>0</formula1>
      <formula2>H1719</formula2>
    </dataValidation>
    <dataValidation type="decimal" allowBlank="1" showInputMessage="1" showErrorMessage="1" error="Tidak Terdapat Produk Unggulan,_x000a_Diisi 0 (Nol)" promptTitle="Luas Lahan Tanaman " prompt="(Dalam Satuan Luas Ha)_x000a_1 Km2 = 100 Ha" sqref="H1218" xr:uid="{00000000-0002-0000-0100-0000C0040000}">
      <formula1>0</formula1>
      <formula2>IF(H1038="Tidak Ada",0,25000)</formula2>
    </dataValidation>
    <dataValidation allowBlank="1" showInputMessage="1" showErrorMessage="1" promptTitle="Sumber Listrik Tenaga Panas Bumi" prompt="Ada_x000a_Tidak Ada_x000a_(IDM S 399.g)" sqref="H1912" xr:uid="{00000000-0002-0000-0100-0000C1040000}"/>
    <dataValidation type="whole" operator="lessThanOrEqual" allowBlank="1" showInputMessage="1" showErrorMessage="1" errorTitle="PERHATIKAN JUMLAH PENDUDUK" error="CEK JUMLAH PENDUDUK DI DESA, Tidak dapat Melebihi Jumlah Penduduk._x000a_Tidak Terdapat Tambang Emas_x000a_(Hanya diInput Angka)" promptTitle="Jlh Naker Tambang Emas" prompt=" (Diisi Angka)" sqref="H324" xr:uid="{00000000-0002-0000-0100-0000C2040000}">
      <formula1>IF(H322="tidak ada",0,$H$493)</formula1>
    </dataValidation>
    <dataValidation type="list" allowBlank="1" showInputMessage="1" showErrorMessage="1" promptTitle="Pendidikan T'akhir Plt/ Kades" prompt="0. Tidak Pernah Sekolah_x000a_1. Tamat S3_x000a_2. Tamat S2_x000a_3. Tamat S1/DIV_x000a_4. Tamat Akademi DIII_x000a_5. Tamat SLTA/ Sederajat_x000a_6. Tamat SLTP/ Sederajat_x000a_7. Tamat SD/ Sederajat_x000a_8. Tidak Tamat SD/sederajat" sqref="H41" xr:uid="{00000000-0002-0000-0100-0000C3040000}">
      <formula1>"0,1, 2, 3, 4, 5,6,7,8"</formula1>
    </dataValidation>
    <dataValidation allowBlank="1" showInputMessage="1" showErrorMessage="1" promptTitle="Tersedia Layanan Dokter" prompt="1: Tidak Tersedia_x000a_5: Tersedia_x000a_(IDM S 313.a)" sqref="H1825" xr:uid="{00000000-0002-0000-0100-0000C4040000}"/>
    <dataValidation type="whole" allowBlank="1" showInputMessage="1" showErrorMessage="1" error="Tidak terdapat Karang Taruna._x000a_Max 24 kali/tahun" promptTitle="Jlh Frek Karang Taruna" prompt="(Kali/Thn) " sqref="H737" xr:uid="{00000000-0002-0000-0100-0000C5040000}">
      <formula1>0</formula1>
      <formula2>IF(H736=0,0,24)</formula2>
    </dataValidation>
    <dataValidation type="whole" allowBlank="1" showInputMessage="1" showErrorMessage="1" promptTitle="Frek Kejadian Bencana" prompt="Tsunami_x000a_(Kali/Tahun)" sqref="H1490" xr:uid="{00000000-0002-0000-0100-0000C6040000}">
      <formula1>0</formula1>
      <formula2>24</formula2>
    </dataValidation>
    <dataValidation allowBlank="1" showInputMessage="1" showErrorMessage="1" promptTitle="Pihak yg mengelola Hutan Negara" prompt="Sebutkan Pihak IUPHAK/Swasta yg Mengelola Hutan Negara" sqref="H252" xr:uid="{00000000-0002-0000-0100-0000C7040000}"/>
    <dataValidation allowBlank="1" showInputMessage="1" showErrorMessage="1" promptTitle="Pihak Kelola Tambang Aspal" prompt="Sebutkan_x000a_" sqref="H289" xr:uid="{00000000-0002-0000-0100-0000CA040000}"/>
    <dataValidation type="whole" allowBlank="1" showInputMessage="1" showErrorMessage="1" error="Tidak Terdapat Konflik di Desa" promptTitle="Jlh Kejadian Konfik" prompt="Antar Pelajar/Mahasiswa/Pemuda_x000a_(Kasus)" sqref="H809" xr:uid="{00000000-0002-0000-0100-0000CB040000}">
      <formula1>0</formula1>
      <formula2>IF(H803=0,0,50)</formula2>
    </dataValidation>
    <dataValidation type="custom" operator="greaterThanOrEqual" allowBlank="1" showInputMessage="1" showErrorMessage="1" errorTitle="JLH PENDUDUK pd BIDANG PEKERJAAN" error="Total pendudukn Berdasarkan PEKERJAAN Harus LEBIH KECIL dari TOTAL PENDUDUK di Desa" promptTitle="Jumlah Pekerjaan PNS" prompt="Jumlah Pekerja PNS Laki-Laki" sqref="H519" xr:uid="{00000000-0002-0000-0100-0000CC040000}">
      <formula1>($H$511+$H$512+$H$513+$H$514+$H$515+$H$516+$H$517+$H$518+$H$519+$H$520+$H$521+$H$522+$H$523+$H$524+$H$525+$H$526+$H$527+$H$528+$H$529+$H$530+$H$531+$H$532+$H$533+$H$534+$H$535)&lt;=$H$493</formula1>
    </dataValidation>
    <dataValidation type="decimal" allowBlank="1" showInputMessage="1" showErrorMessage="1" error="Tidak Terdapat Produk Unggulan,_x000a_Diisi 0 (Nol)" promptTitle="Luas Lahan Tanaman " prompt="(Dalam Satuan Luas Ha)_x000a_1 Km2 = 100 Ha" sqref="H1107" xr:uid="{00000000-0002-0000-0100-0000CD040000}">
      <formula1>0</formula1>
      <formula2>IF(H1038="Tidak Ada",0,25000)</formula2>
    </dataValidation>
    <dataValidation type="list" allowBlank="1" showInputMessage="1" showErrorMessage="1" promptTitle="RTNH Lainnya" prompt="1: Tidak ada fasilitas_x000a_2: Ada, kondisi rusak parah_x000a_3: Ada, Kondisi rusak sedang_x000a_4: Ada, kondisi rusak ringan_x000a_5: Ada, kondisi baik" sqref="H2005" xr:uid="{00000000-0002-0000-0100-0000CE040000}">
      <formula1>"1,2,3,4,5"</formula1>
    </dataValidation>
    <dataValidation type="list" allowBlank="1" showInputMessage="1" showErrorMessage="1" promptTitle="Layanan SMA/SMK/MA/MAK/Sederajat" prompt="Pemerintah_x000a_Swasta_x000a_Masyarakat" sqref="H1773" xr:uid="{00000000-0002-0000-0100-0000D1040000}">
      <formula1>"Pemerintah, Swasta, Masyarakat"</formula1>
    </dataValidation>
    <dataValidation type="decimal" allowBlank="1" showInputMessage="1" showErrorMessage="1" promptTitle="Total Produksi Panen dalam 1 Thn" prompt="Sebutkan (Ton Per Tahun)" sqref="H1267" xr:uid="{00000000-0002-0000-0100-0000D2040000}">
      <formula1>0</formula1>
      <formula2>IF(H1038="Tidak ada",0,25000)</formula2>
    </dataValidation>
    <dataValidation type="whole" operator="lessThanOrEqual" allowBlank="1" showInputMessage="1" showErrorMessage="1" promptTitle="Jlh Perahu milik Lainnya" prompt="(Unit)" sqref="H490" xr:uid="{00000000-0002-0000-0100-0000D3040000}">
      <formula1>10000</formula1>
    </dataValidation>
    <dataValidation type="list" allowBlank="1" showInputMessage="1" showErrorMessage="1" promptTitle="Keragaman Aktivitas Ekonomi desa" prompt="1: Terdapat 1 sektor/aktivitas_x000a_3: Terdapat 2 sektor/aktivitas_x000a_5: Terdapat &gt;2 sektor/aktivitas" sqref="H2009" xr:uid="{00000000-0002-0000-0100-0000D4040000}">
      <formula1>"1,3,5"</formula1>
    </dataValidation>
    <dataValidation type="decimal" allowBlank="1" showInputMessage="1" showErrorMessage="1" error="Tidak Terdapat Produk Unggulan,_x000a_Diisi 0 (Nol)" promptTitle="Luas Lahan Tanaman " prompt="(Dalam Satuan Luas Ha)_x000a_1 Km2 = 100 Ha" sqref="H1202" xr:uid="{00000000-0002-0000-0100-0000D5040000}">
      <formula1>0</formula1>
      <formula2>IF(H1038="Tidak Ada",0,25000)</formula2>
    </dataValidation>
    <dataValidation type="list" allowBlank="1" showInputMessage="1" showErrorMessage="1" promptTitle="Unsur Masyarakat Ikut Musdes" prompt="1: Tidak Ada_x000a_5: Ada" sqref="H2222" xr:uid="{00000000-0002-0000-0100-0000D7040000}">
      <formula1>"1,5"</formula1>
    </dataValidation>
    <dataValidation type="whole" allowBlank="1" showInputMessage="1" showErrorMessage="1" errorTitle="CEK KONFLIK DI DESA 1 TAHUN" error="Batas isian Max 100 Kasus/tahun_x000a_Jika dalm 1 Tahun Terakhir TIDAK ADA konflik di Desa. Diisi angka 0 (NOL)" prompt="IDM S 376.f" sqref="H1965" xr:uid="{00000000-0002-0000-0100-0000D8040000}">
      <formula1>0</formula1>
      <formula2>IF($H$244="Ada",100,0)</formula2>
    </dataValidation>
    <dataValidation allowBlank="1" showInputMessage="1" showErrorMessage="1" promptTitle="Pihak Kelola Perkebunan Kina" prompt="Sebutkan_x000a_" sqref="H446" xr:uid="{00000000-0002-0000-0100-0000D9040000}"/>
    <dataValidation type="whole" allowBlank="1" showInputMessage="1" showErrorMessage="1" error="Tidak terdapat konflik lahan" promptTitle="Jlh Konflik Lahan" prompt="Jlh konflik Antar Kelompok Masyarakat dengan pihak lainnya dalam 1 tahun terakhir" sqref="H819" xr:uid="{00000000-0002-0000-0100-0000DA040000}">
      <formula1>0</formula1>
      <formula2>IF(H814=0,0,50)</formula2>
    </dataValidation>
    <dataValidation allowBlank="1" showInputMessage="1" showErrorMessage="1" promptTitle="Jumlah Unit Bidang Bumdesa" prompt="TERHITUNG SECARA OTOMATIS" sqref="H1449" xr:uid="{00000000-0002-0000-0100-0000DB040000}"/>
    <dataValidation type="whole" operator="lessThanOrEqual" allowBlank="1" showInputMessage="1" showErrorMessage="1" error="Tidak Terdapat Perkebunan Kopi. Diisi 0 (NOL)_x000a_Tidak Melebihi Jumlah Penduduk di Desa" promptTitle="Jlh Petani Perkebunan Kopi" prompt=" _x000a_" sqref="H430" xr:uid="{00000000-0002-0000-0100-0000DC040000}">
      <formula1>IF(H425="Tidak ada",0,$H$493)</formula1>
    </dataValidation>
    <dataValidation type="list" allowBlank="1" showInputMessage="1" showErrorMessage="1" promptTitle="Pelayanan Administrasi Masyarakt" prompt="1: Belum_x000a_5: Sudah" sqref="H2212" xr:uid="{00000000-0002-0000-0100-0000DD040000}">
      <formula1>"1,5"</formula1>
    </dataValidation>
    <dataValidation type="list" showInputMessage="1" showErrorMessage="1" promptTitle="Tdapat Bumdesa Keuangan" prompt="Terdapat Bumdesa Keuangan Bidang Simpan Pinjam _x000a_0: Tidak Ada_x000a_1: Ada" sqref="H1423" xr:uid="{00000000-0002-0000-0100-0000DE040000}">
      <formula1>IF($H$1422=0,Tidak_tersedia,Tersedia)</formula1>
    </dataValidation>
    <dataValidation allowBlank="1" showInputMessage="1" showErrorMessage="1" promptTitle="Pengurus BUMDesa Bersama" prompt="(Terisi dari Unggah Template BUMDes dan BUMDesa Bersama)" sqref="H1461" xr:uid="{00000000-0002-0000-0100-0000E0040000}"/>
    <dataValidation type="list" allowBlank="1" showInputMessage="1" showErrorMessage="1" promptTitle="Aktivitas Posyandu" prompt="5: Ada dan Aktivitas Rutin &gt;= 12 Kali per tahun_x000a_4: Ada dan Aktivitas Rutin 8 - 11 Kali per tahun_x000a_3: Ada dan Aktivitas Rutin 5 - 8 Kali per tahun_x000a_2: Ada dan Aktivitas Rutin 1 - 4 Kali per tahun_x000a_1: Tidak Ada" sqref="H1818" xr:uid="{00000000-0002-0000-0100-0000E1040000}">
      <formula1>IF($H$1817=1,Aktivitas_posyandu1,Aktivitas_Posyandu5)</formula1>
    </dataValidation>
    <dataValidation type="whole" allowBlank="1" showInputMessage="1" showErrorMessage="1" errorTitle="PERHATIAN" error="Tidak Melebihi Jumlah Anak 3-6 Tahun di Desa" sqref="H1744" xr:uid="{00000000-0002-0000-0100-0000E2040000}">
      <formula1>0</formula1>
      <formula2>H1743</formula2>
    </dataValidation>
    <dataValidation type="whole" allowBlank="1" showInputMessage="1" showErrorMessage="1" promptTitle="Jlh Fasilitas Lap Bulu Tangkis" prompt="(Unit)" sqref="H770" xr:uid="{00000000-0002-0000-0100-0000E3040000}">
      <formula1>0</formula1>
      <formula2>10</formula2>
    </dataValidation>
    <dataValidation type="list" allowBlank="1" showInputMessage="1" showErrorMessage="1" promptTitle="Desa Damai Berkeadilan" prompt="Ya_x000a_Tidak" sqref="H106" xr:uid="{00000000-0002-0000-0100-0000E5040000}">
      <formula1>"Ya, Tidak"</formula1>
    </dataValidation>
    <dataValidation type="whole" allowBlank="1" showInputMessage="1" showErrorMessage="1" sqref="H1901" xr:uid="{00000000-0002-0000-0100-0000E6040000}">
      <formula1>0</formula1>
      <formula2>H1719</formula2>
    </dataValidation>
    <dataValidation allowBlank="1" showInputMessage="1" showErrorMessage="1" promptTitle="Terdapat Bangunan Desa Lainnya" prompt="Sebutkan" sqref="H1614" xr:uid="{00000000-0002-0000-0100-0000E7040000}"/>
    <dataValidation allowBlank="1" showInputMessage="1" showErrorMessage="1" promptTitle="Alamat Email Bumdesa" prompt=" " sqref="H1459" xr:uid="{00000000-0002-0000-0100-0000E8040000}"/>
    <dataValidation type="decimal" operator="lessThanOrEqual" allowBlank="1" showInputMessage="1" showErrorMessage="1" error="Tidak dapat Perkebunan Coklat/Kakao._x000a_Diisi 0 (NOL)" promptTitle="Luas Area P'kebunan Coklat/kakao" prompt="(Dalam Satuan Luas Ha)_x000a_1 Km2 = 100 Ha" sqref="H417" xr:uid="{00000000-0002-0000-0100-0000E9040000}">
      <formula1>IF(H416="Tidak ada",0,25000)</formula1>
    </dataValidation>
    <dataValidation type="whole" allowBlank="1" showInputMessage="1" showErrorMessage="1" errorTitle="CEK KONFLIK DI DESA 1 TAHUN" error="Batas isian Max 100 Kasus/tahun_x000a_Jika dalm 1 Tahun Terakhir TIDAK ADA konflik di Desa. Diisi angka 0 (NOL)" prompt="IDM S 376.b" sqref="H1957" xr:uid="{00000000-0002-0000-0100-0000EC040000}">
      <formula1>0</formula1>
      <formula2>IF($H$244="Ada",100,0)</formula2>
    </dataValidation>
    <dataValidation type="list" allowBlank="1" showInputMessage="1" showErrorMessage="1" promptTitle="Desa Cerdas" prompt="Ya_x000a_Tidak" sqref="H102" xr:uid="{00000000-0002-0000-0100-0000ED040000}">
      <formula1>"Ya, Tidak"</formula1>
    </dataValidation>
    <dataValidation allowBlank="1" showInputMessage="1" showErrorMessage="1" promptTitle="Tersedia Pelayanan Listrik Rumah" prompt="1: Tidak Ada_x000a_3: Ada sebagian kecil (&lt;= 50% terakses)_x000a_5: Ada sebagian besar (&gt; 50 % terakses)" sqref="H1902" xr:uid="{00000000-0002-0000-0100-0000EE040000}"/>
    <dataValidation type="list" showInputMessage="1" showErrorMessage="1" promptTitle="Adanya Warga Beragama Hindu" prompt="Keterangan:_x000a_0 : Tidak Ada_x000a_1 : Ada" sqref="H782" xr:uid="{00000000-0002-0000-0100-0000EF040000}">
      <formula1>"0,1"</formula1>
    </dataValidation>
    <dataValidation type="decimal" allowBlank="1" showInputMessage="1" showErrorMessage="1" promptTitle="Total Produksi Panen dalam 1 Thn" prompt="Sebutkan (Ton Per Tahun)" sqref="H1219" xr:uid="{00000000-0002-0000-0100-0000F0040000}">
      <formula1>0</formula1>
      <formula2>IF(H1038="Tidak ada",0,25000)</formula2>
    </dataValidation>
    <dataValidation allowBlank="1" showInputMessage="1" showErrorMessage="1" promptTitle="Total Paud Pemerintah dan Swasta" prompt="Terhitung Secara Otomatis" sqref="H723" xr:uid="{00000000-0002-0000-0100-0000F1040000}"/>
    <dataValidation type="list" showInputMessage="1" showErrorMessage="1" promptTitle="Tersedia Apotik" prompt="0: Tidak Ada_x000a_1: Ada_x000a__x000a_" sqref="H582" xr:uid="{00000000-0002-0000-0100-0000F3040000}">
      <formula1>"0,1"</formula1>
    </dataValidation>
    <dataValidation allowBlank="1" showInputMessage="1" showErrorMessage="1" promptTitle="Aktivitas Wisata Embung" prompt="Contoh:_x000a_Berenang, Olahraga, Piknik" sqref="H176" xr:uid="{00000000-0002-0000-0100-0000F4040000}"/>
    <dataValidation type="list" showInputMessage="1" showErrorMessage="1" promptTitle="Tdapat Bumdesa Perantara" prompt="Terdapat Bumdesa Perantara Bidang Penggilingan Padi_x000a_0: Tidak Ada_x000a_1: Ada" sqref="H1437" xr:uid="{00000000-0002-0000-0100-0000F5040000}">
      <formula1>IF($H$1431=0,Tidak_tersedia,Tersedia)</formula1>
    </dataValidation>
    <dataValidation type="list" allowBlank="1" showInputMessage="1" showErrorMessage="1" promptTitle="Terdapat Tambang Batu Kali" prompt="Ada_x000a_Tidak Ada" sqref="H372" xr:uid="{00000000-0002-0000-0100-0000F6040000}">
      <formula1>"Ada, Tidak Ada"</formula1>
    </dataValidation>
    <dataValidation type="whole" operator="lessThanOrEqual" allowBlank="1" showInputMessage="1" showErrorMessage="1" sqref="H1730" xr:uid="{00000000-0002-0000-0100-0000F7040000}">
      <formula1>H1720</formula1>
    </dataValidation>
    <dataValidation type="list" allowBlank="1" showInputMessage="1" showErrorMessage="1" promptTitle="Terdapat Aktivitas Satkamling" prompt="1: Tidak terdapat aktivitas_x000a_2: Terdapat 1 kali aktivitas perbulan_x000a_3: Terdapat 2 kali aktivitas perbulan_x000a_4: Terdapat 3 kali aktivitas perbulan_x000a_5: Terdapat &gt;3 kali aktivitas perbulan" sqref="H1980" xr:uid="{00000000-0002-0000-0100-0000F8040000}">
      <formula1>IF($H$1979=1,Non_listrik,Perpustakaan)</formula1>
    </dataValidation>
    <dataValidation type="whole" operator="lessThanOrEqual" allowBlank="1" showInputMessage="1" showErrorMessage="1" promptTitle="Jlh Pengajar SMU/MA/SMK" prompt=" " sqref="H684" xr:uid="{00000000-0002-0000-0100-0000FA040000}">
      <formula1>500</formula1>
    </dataValidation>
    <dataValidation type="list" showInputMessage="1" showErrorMessage="1" promptTitle="Peringatan Dini Bencana" prompt="Terdapat fasilitas mitigasi bencana alam di Desa berupa  peringatan dini bencana_x000a_0: Tidak Ada_x000a_1: Ada" sqref="H1498" xr:uid="{00000000-0002-0000-0100-0000FB040000}">
      <formula1>"0,1"</formula1>
    </dataValidation>
    <dataValidation allowBlank="1" showInputMessage="1" showErrorMessage="1" prompt="IDM 902.a, 902.c, 902.c" sqref="H2253" xr:uid="{00000000-0002-0000-0100-0000FC040000}"/>
    <dataValidation type="decimal" allowBlank="1" showInputMessage="1" showErrorMessage="1" error="Tidak Terdapat Produk Unggulan,_x000a_Diisi 0 (Nol)" promptTitle="Luas Lahan Tanaman " prompt="(Dalam Satuan Luas Ha)_x000a_1 Km2 = 100 Ha" sqref="H1177" xr:uid="{00000000-0002-0000-0100-0000FD040000}">
      <formula1>0</formula1>
      <formula2>IF(H1038="Tidak Ada",0,25000)</formula2>
    </dataValidation>
    <dataValidation type="list" showInputMessage="1" showErrorMessage="1" promptTitle="Tdapat Bumdesa Keuangan" prompt="Terdapat Bumdesa Keuangan Bidang PPOB _x000a_0: Tidak Ada_x000a_1: Ada" sqref="H1430" xr:uid="{00000000-0002-0000-0100-0000FE040000}">
      <formula1>IF($H$1422=0,Tidak_tersedia,Tersedia)</formula1>
    </dataValidation>
    <dataValidation type="list" allowBlank="1" showInputMessage="1" showErrorMessage="1" promptTitle="Usulan Musdes Advokasi Pihak-3" prompt="0: Tidak Ada_x000a_1: Ada" sqref="H2226" xr:uid="{00000000-0002-0000-0100-0000FF040000}">
      <formula1>"0,1"</formula1>
    </dataValidation>
    <dataValidation type="decimal" allowBlank="1" showInputMessage="1" showErrorMessage="1" error="Tidak Terdapat Produk Unggulan,_x000a_Diisi 0 (Nol)" promptTitle="Luas Lahan Tanaman " prompt="(Dalam Satuan Luas Ha)_x000a_1 Km2 = 100 Ha" sqref="H1098" xr:uid="{00000000-0002-0000-0100-000001050000}">
      <formula1>0</formula1>
      <formula2>IF(H1038="Tidak Ada",0,25000)</formula2>
    </dataValidation>
    <dataValidation allowBlank="1" showInputMessage="1" showErrorMessage="1" promptTitle="Jenis Tambang Golongan A Lainnya" prompt="Sebutkan_x000a_" sqref="H297" xr:uid="{00000000-0002-0000-0100-000002050000}"/>
    <dataValidation type="decimal" allowBlank="1" showInputMessage="1" showErrorMessage="1" error="Tidak Terdapat Produk Unggulan,_x000a_Diisi 0 (Nol)" promptTitle="Luas Lahan Tanaman " prompt="(Dalam Satuan Luas Ha)_x000a_1 Km2 = 100 Ha" sqref="H1260" xr:uid="{00000000-0002-0000-0100-000004050000}">
      <formula1>0</formula1>
      <formula2>IF(H1038="Tidak Ada",0,25000)</formula2>
    </dataValidation>
    <dataValidation type="whole" operator="lessThanOrEqual" allowBlank="1" showInputMessage="1" showErrorMessage="1" errorTitle="PERHATIKAN JUMLAH PENDUDUK" error="CEK JUMLAH PENDUDUK DI DESA, Tidak dapat Melebihi Jumlah Penduduk. Tidak Terdapat Tambang Tanah Uruk_x000a_(Hanya diInput Angka)" promptTitle="Jlh Naker Lokal Tambang T. Uruk" prompt=" (Diisi Angka)" sqref="H381" xr:uid="{00000000-0002-0000-0100-000005050000}">
      <formula1>IF(H378="tidak ada",0,$H$493)</formula1>
    </dataValidation>
    <dataValidation type="whole" allowBlank="1" showInputMessage="1" showErrorMessage="1" error="Tidak Tersedia Layanan Bidan Desa" promptTitle="Jumlah Bidan Desa (BDD)" prompt="Input Menggunakan Angka" sqref="H587" xr:uid="{00000000-0002-0000-0100-000006050000}">
      <formula1>0</formula1>
      <formula2>IF(H586=0,0,50)</formula2>
    </dataValidation>
    <dataValidation type="list" showInputMessage="1" showErrorMessage="1" promptTitle="Tdapat Bumdesa Usaha" prompt="Terdapat Bumdesa Usaha Bidang Penjualan Tiket_x000a_0: Tidak Ada_x000a_1: Ada" sqref="H1440" xr:uid="{00000000-0002-0000-0100-000007050000}">
      <formula1>IF($H$1438=0,Tidak_tersedia,Tersedia)</formula1>
    </dataValidation>
    <dataValidation type="list" allowBlank="1" showInputMessage="1" showErrorMessage="1" promptTitle="Buku Bank Desa" prompt="Diisi_x000a_Tidak Diisi" sqref="H2174" xr:uid="{00000000-0002-0000-0100-000008050000}">
      <formula1>IF($H$2167="Belum",Tidak_Diisi,Diisi)</formula1>
    </dataValidation>
    <dataValidation type="whole" allowBlank="1" showInputMessage="1" showErrorMessage="1" promptTitle="Jumlah Fasilitas Praktik Dokter" prompt="(Diisi Angka)" sqref="H1832" xr:uid="{00000000-0002-0000-0100-000009050000}">
      <formula1>0</formula1>
      <formula2>5</formula2>
    </dataValidation>
    <dataValidation type="list" showInputMessage="1" showErrorMessage="1" promptTitle="Tersedia Rumah Bersalin" prompt="0: Tidak Ada_x000a_1: Ada_x000a__x000a_" sqref="H566" xr:uid="{00000000-0002-0000-0100-00000A050000}">
      <formula1>"0,1"</formula1>
    </dataValidation>
    <dataValidation allowBlank="1" showInputMessage="1" showErrorMessage="1" promptTitle="Nama Lengkap Plt/ Kades" prompt="Nama Lengkap Plt/ Kepala Desa" sqref="H31" xr:uid="{00000000-0002-0000-0100-00000B050000}"/>
    <dataValidation type="list" showInputMessage="1" showErrorMessage="1" promptTitle="Ada Tidaknya Karang Taruna" prompt="Keterangan:_x000a_0 : Tidak Ada_x000a_1 : Ada" sqref="H736" xr:uid="{00000000-0002-0000-0100-00000C050000}">
      <formula1>"0,1"</formula1>
    </dataValidation>
    <dataValidation type="list" allowBlank="1" showInputMessage="1" showErrorMessage="1" promptTitle="Buku Musyawarah Desa" prompt="Diisi_x000a_Tidak Diisi" sqref="H2184" xr:uid="{00000000-0002-0000-0100-00000D050000}">
      <formula1>IF($H$2181="Belum",Tidak_Diisi,Diisi)</formula1>
    </dataValidation>
    <dataValidation allowBlank="1" showInputMessage="1" showErrorMessage="1" promptTitle="Frekuensi Musyawarah Desa" prompt="1: Terlaksana 0-2 kali musdes_x000a_2: Terlaksana 3-4 kali musdes_x000a_3: Terlaksana 5-6 kali musdes_x000a_4: Terlaksana 7-9 kali musdes_x000a_5: Terlaksana &gt;=10 kali musdes_x000a__x000a_(IDM S 363.c)" sqref="H2217" xr:uid="{00000000-0002-0000-0100-00000E050000}"/>
    <dataValidation type="custom" operator="greaterThanOrEqual" allowBlank="1" showInputMessage="1" showErrorMessage="1" error="ISI dengan Angka_x000a_Tidak Bisa Lebih besar dari jumlah KK" promptTitle="Jlh KK Belum Teraliri Listrik" prompt="Non Listrik_x000a_(KK)" sqref="H916" xr:uid="{00000000-0002-0000-0100-00000F050000}">
      <formula1>($H$914+$H$915+$H$916)&lt;=$H$499</formula1>
    </dataValidation>
    <dataValidation type="list" allowBlank="1" showInputMessage="1" showErrorMessage="1" promptTitle="Perahu layanan Dokter" prompt="Ada_x000a_Tidak Ada" sqref="H1840" xr:uid="{00000000-0002-0000-0100-000010050000}">
      <formula1>IF($H$125=1,Tidak_Ada,Ada)</formula1>
    </dataValidation>
    <dataValidation type="list" allowBlank="1" showInputMessage="1" showErrorMessage="1" promptTitle="Tersedia Fasilitas Tenis Meja" prompt="1: Tidak ada fasilitas_x000a_2: Ada, kondisi rusak parah_x000a_3: Ada, Kondisi rusak sedang_x000a_4: Ada, kondisi rusak ringan_x000a_5: Ada, kondisi baik" sqref="H1994" xr:uid="{00000000-0002-0000-0100-000011050000}">
      <formula1>"1,2,3,4,5"</formula1>
    </dataValidation>
    <dataValidation type="list" allowBlank="1" showInputMessage="1" showErrorMessage="1" promptTitle="Kondisi KK Miliki Rumah Permanen" prompt="1. Baik_x000a_2. Sedang_x000a_3. Rusak" sqref="H878" xr:uid="{00000000-0002-0000-0100-000012050000}">
      <formula1>"1,2,3"</formula1>
    </dataValidation>
    <dataValidation allowBlank="1" showInputMessage="1" showErrorMessage="1" prompt="IDM 109.b" sqref="H1715" xr:uid="{00000000-0002-0000-0100-000013050000}"/>
    <dataValidation type="decimal" allowBlank="1" showInputMessage="1" showErrorMessage="1" error="Tidak Terdapat Produk Unggulan,_x000a_Diisi 0 (Nol)" promptTitle="Luas Lahan Tanaman " prompt="(Dalam Satuan Luas Ha)_x000a_1 Km2 = 100 Ha" sqref="H1254" xr:uid="{00000000-0002-0000-0100-000014050000}">
      <formula1>0</formula1>
      <formula2>IF(H1038="Tidak Ada",0,25000)</formula2>
    </dataValidation>
    <dataValidation type="list" showInputMessage="1" showErrorMessage="1" promptTitle="Terdapat Kegiatan Poskamling" prompt="Keterangan:_x000a_0 : Tidak Ada_x000a_1 : Ada" sqref="H802" xr:uid="{00000000-0002-0000-0100-000015050000}">
      <formula1>"0,1"</formula1>
    </dataValidation>
    <dataValidation allowBlank="1" showInputMessage="1" showErrorMessage="1" promptTitle="Pihak yg mengelola Hutan Rakyat" prompt="Sebutkan Pihak yg Mengelola Hutan Rakyat" sqref="H261" xr:uid="{00000000-0002-0000-0100-000016050000}"/>
    <dataValidation type="list" allowBlank="1" showInputMessage="1" showErrorMessage="1" promptTitle="Status Kelola Perkebunan Teh " prompt="Tidak Ada_x000a_Pemerintah_x000a_BUMN_x000a_BUMD_x000a_Swasta_x000a_Perorangan" sqref="H436" xr:uid="{00000000-0002-0000-0100-000017050000}">
      <formula1>IF(H434="Tidak ada",Tidak_Ada,kebun)</formula1>
    </dataValidation>
    <dataValidation type="list" allowBlank="1" showInputMessage="1" showErrorMessage="1" promptTitle="Jenis Kelamin Kasi Pelayanan" prompt="Laki- Laki_x000a_Perempuan" sqref="H63" xr:uid="{00000000-0002-0000-0100-000018050000}">
      <formula1>"Laki-Laki, Perempuan"</formula1>
    </dataValidation>
    <dataValidation type="decimal" allowBlank="1" showInputMessage="1" showErrorMessage="1" promptTitle="Luas Lahan Tanaman Merica" prompt="(Dalam Satuan Luas Ha)_x000a_1 Km2 = 100 Ha" sqref="H1005" xr:uid="{00000000-0002-0000-0100-000019050000}">
      <formula1>0</formula1>
      <formula2>IF(H1004="tidak ada",0,25000)</formula2>
    </dataValidation>
    <dataValidation type="decimal" allowBlank="1" showInputMessage="1" showErrorMessage="1" error="Tidak Terdapat Produk Unggulan,_x000a_Diisi 0 (Nol)" promptTitle="Total Produksi Panen dalam 1 Thn" prompt="Sebutkan (Ton Per Tahun)" sqref="H1282" xr:uid="{00000000-0002-0000-0100-00001A050000}">
      <formula1>0</formula1>
      <formula2>IF(LEN(H1274)&lt;3,0,25000)</formula2>
    </dataValidation>
    <dataValidation type="list" allowBlank="1" showInputMessage="1" showErrorMessage="1" promptTitle="Terdapat Kaur Keuangan" prompt="Ada_x000a_Tidak Ada" sqref="H69" xr:uid="{00000000-0002-0000-0100-00001B050000}">
      <formula1>"Ada, Tidak Ada"</formula1>
    </dataValidation>
    <dataValidation type="decimal" allowBlank="1" showInputMessage="1" showErrorMessage="1" error="Tidak Terdapat Produk Unggulan,_x000a_Diisi 0 (Nol)" promptTitle="Total Produksi Panen dalam 1 Thn" prompt="Sebutkan (Ton Per Tahun)" sqref="H1289" xr:uid="{00000000-0002-0000-0100-00001C050000}">
      <formula1>0</formula1>
      <formula2>IF(LEN(H1274)&lt;3,0,25000)</formula2>
    </dataValidation>
    <dataValidation type="decimal" operator="lessThanOrEqual" allowBlank="1" showInputMessage="1" showErrorMessage="1" promptTitle="Poliklinik/Balai P'obatan Tdekat" prompt="(Meter)" sqref="H571" xr:uid="{00000000-0002-0000-0100-00001D050000}">
      <formula1>300000</formula1>
    </dataValidation>
    <dataValidation type="list" allowBlank="1" showInputMessage="1" showErrorMessage="1" promptTitle="Transportasi Umum Layanan Bidan" prompt="Ada_x000a_Tidak Ada" sqref="H1855" xr:uid="{00000000-0002-0000-0100-00001E050000}">
      <formula1>IF($H$143=1,Tidak_Ada,Ada)</formula1>
    </dataValidation>
    <dataValidation type="list" showInputMessage="1" showErrorMessage="1" promptTitle="Tdapat Bumdesa Pariwisata" prompt="Terdapat Bumdesa Parawisita Bidang Agrowisata_x000a_0: Tidak Ada_x000a_1: Ada" sqref="H1444" xr:uid="{00000000-0002-0000-0100-00001F050000}">
      <formula1>IF($H$1442=0,Tidak_tersedia,Tersedia)</formula1>
    </dataValidation>
    <dataValidation allowBlank="1" showInputMessage="1" showErrorMessage="1" promptTitle="Sebagian Besar Warga Indosat" prompt="Ada_x000a_Tidak Ada_x000a_(IDM S 401.b1)" sqref="H1919" xr:uid="{00000000-0002-0000-0100-000020050000}"/>
    <dataValidation type="whole" allowBlank="1" showInputMessage="1" showErrorMessage="1" promptTitle="Nomor Telp Kasi Pelayanan Aktif" prompt="Di isi tanpa awalan angka NOL (0)_x000a_contoh:_x000a_8171234567890" sqref="H62" xr:uid="{00000000-0002-0000-0100-000021050000}">
      <formula1>8111111111</formula1>
      <formula2>88888888888</formula2>
    </dataValidation>
    <dataValidation allowBlank="1" showInputMessage="1" showErrorMessage="1" promptTitle="Ketersedia Air Minum Warga desa" prompt="1: Sangat sedikit warga di desa  yang bisa mengakses air minum (&lt; 50% terakses)_x000a_3: Sebagian warga di desa  yang bisa mengakses air minum (50 -100% terakses)_x000a_5: Seluruh warga di desa sudah bisa mengakses air minum (100% terakses)" sqref="H1896" xr:uid="{00000000-0002-0000-0100-000022050000}"/>
    <dataValidation type="whole" allowBlank="1" showInputMessage="1" showErrorMessage="1" promptTitle="Jlh Kelompok Seni Adat &amp; Budaya" prompt="(Kelompok)" sqref="H795" xr:uid="{00000000-0002-0000-0100-000023050000}">
      <formula1>0</formula1>
      <formula2>IF(H793=0,0,25)</formula2>
    </dataValidation>
    <dataValidation type="whole" allowBlank="1" showInputMessage="1" showErrorMessage="1" promptTitle="Nomor Telp Kasi Pemerintahan Akt" prompt="Di isi tanpa awalan angka NOL (0)_x000a_contoh:_x000a_8171234567890" sqref="H54" xr:uid="{00000000-0002-0000-0100-000024050000}">
      <formula1>8111111111</formula1>
      <formula2>88888888888</formula2>
    </dataValidation>
    <dataValidation type="whole" allowBlank="1" showInputMessage="1" showErrorMessage="1" sqref="H2200" xr:uid="{00000000-0002-0000-0100-000025050000}">
      <formula1>0</formula1>
      <formula2>24</formula2>
    </dataValidation>
    <dataValidation type="list" allowBlank="1" showInputMessage="1" showErrorMessage="1" promptTitle="Terdapat Gudang Milik Swasta" prompt="Ada_x000a_Tidak Ada" sqref="H1376" xr:uid="{00000000-0002-0000-0100-000026050000}">
      <formula1>"Ada, Tidak Ada"</formula1>
    </dataValidation>
    <dataValidation allowBlank="1" showInputMessage="1" showErrorMessage="1" promptTitle="Terdapat Konflik 1 Tahun T'akhir" prompt="Ada_x000a_Tidak Ada_x000a_(IDM S376.a)" sqref="H1954" xr:uid="{00000000-0002-0000-0100-000027050000}"/>
    <dataValidation type="whole" operator="lessThanOrEqual" allowBlank="1" showInputMessage="1" showErrorMessage="1" promptTitle="Bangunan Rumah Layak DD 2021" prompt="Input dengan Angka" sqref="H866" xr:uid="{00000000-0002-0000-0100-000028050000}">
      <formula1>500</formula1>
    </dataValidation>
    <dataValidation allowBlank="1" showInputMessage="1" showErrorMessage="1" promptTitle="Terdapat Produk Unggulan Lainnya" prompt="Ada_x000a_Tidak Ada" sqref="H1032" xr:uid="{00000000-0002-0000-0100-000029050000}"/>
    <dataValidation type="list" showInputMessage="1" showErrorMessage="1" promptTitle="Ada tidaknya PKBM paket a/b/c" prompt="Keterangan:_x000a_0 : Tidak Ada_x000a_1 : Ada" sqref="H724" xr:uid="{00000000-0002-0000-0100-00002A050000}">
      <formula1>"0,1"</formula1>
    </dataValidation>
    <dataValidation type="whole" allowBlank="1" showInputMessage="1" showErrorMessage="1" errorTitle="CEK KONFLIK DI DESA 1 TAHUN" error="Batas isian Max 100 Kasus/tahun_x000a_Jika dalm 1 Tahun Terakhir TIDAK ADA konflik di Desa. Diisi angka 0 (NOL)" prompt="IDM S 376.d" sqref="H1961" xr:uid="{00000000-0002-0000-0100-00002B050000}">
      <formula1>0</formula1>
      <formula2>IF($H$244="Ada",100,0)</formula2>
    </dataValidation>
    <dataValidation type="list" allowBlank="1" showInputMessage="1" showErrorMessage="1" promptTitle="Unggulan Ke2 Obat Pasar Domestik" prompt="-, Jahe, Jahe Merah, Kunyit, Kunyit Putih, Lengkuas/Laos, Kencur, Temulawak, Lidah Buaya, Kumis Kucing, Kemangi, Sirih, Ketumbar, Sambiloto, Gingko Giloba, Bangle, Mengkudu, Kayu Manis, Jintan Hitam, Kapulaga, Sereh, Lainnya" sqref="H1298" xr:uid="{00000000-0002-0000-0100-00002C050000}">
      <formula1>$K$1207:$K$1228</formula1>
    </dataValidation>
    <dataValidation type="list" allowBlank="1" showInputMessage="1" showErrorMessage="1" promptTitle="Terdapat Perkebunan Klp Sawit" prompt="Ada_x000a_Tidak Ada" sqref="H407" xr:uid="{00000000-0002-0000-0100-00002D050000}">
      <formula1>"Ada, Tidak Ada"</formula1>
    </dataValidation>
    <dataValidation type="list" allowBlank="1" showInputMessage="1" showErrorMessage="1" promptTitle="Adanya PMKS Lanjut Usia Trlantar" prompt="Keterangan:_x000a_0 : Tidak Ada_x000a_1 : Ada" sqref="H858" xr:uid="{00000000-0002-0000-0100-00002E050000}">
      <formula1>"0,1"</formula1>
    </dataValidation>
    <dataValidation type="decimal" allowBlank="1" showInputMessage="1" showErrorMessage="1" promptTitle="Total Produksi Panen dalam 1 Thn" prompt="Sebutkan (Ton Per Tahun)" sqref="H1148" xr:uid="{00000000-0002-0000-0100-00002F050000}">
      <formula1>0</formula1>
      <formula2>IF(H1038="Tidak ada",0,25000)</formula2>
    </dataValidation>
    <dataValidation type="list" operator="lessThanOrEqual" showInputMessage="1" showErrorMessage="1" promptTitle="Terdapat Masjid" prompt="Keterangan:_x000a_0 : Tidak Ada_x000a_1 : Ada" sqref="H786" xr:uid="{00000000-0002-0000-0100-000030050000}">
      <formula1>"0,1"</formula1>
    </dataValidation>
    <dataValidation allowBlank="1" showInputMessage="1" showErrorMessage="1" promptTitle="Peta Batas Desa" prompt="Terdapat_x000a_Tidak Terdapat_x000a_(IDM 111)" sqref="H2190" xr:uid="{00000000-0002-0000-0100-000031050000}"/>
    <dataValidation type="decimal" allowBlank="1" showInputMessage="1" showErrorMessage="1" promptTitle="Total Produksi Panen dalam 1 Thn" prompt="Sebutkan (Ton Per Tahun)" sqref="H1043" xr:uid="{00000000-0002-0000-0100-000032050000}">
      <formula1>0</formula1>
      <formula2>IF(H1038="Tidak ada",0,25000)</formula2>
    </dataValidation>
    <dataValidation type="decimal" allowBlank="1" showInputMessage="1" showErrorMessage="1" error="Tidak Terdapat Produk Unggulan,_x000a_Diisi 0 (Nol)" promptTitle="Luas Lahan Tanaman " prompt="(Dalam Satuan Luas Ha)_x000a_1 Km2 = 100 Ha" sqref="H1221" xr:uid="{00000000-0002-0000-0100-000033050000}">
      <formula1>0</formula1>
      <formula2>IF(H1038="Tidak Ada",0,25000)</formula2>
    </dataValidation>
    <dataValidation type="list" allowBlank="1" showInputMessage="1" showErrorMessage="1" promptTitle="Jenis Pasar Tersedia di Desa" prompt="a. Pasar Rakyat Utama_x000a_b. Pasar Rakyat Tipe A_x000a_c. Pasar Rakyat Tipe B_x000a_d. Pasar Rakyat Tipe C_x000a_e. Pasar Rakyat Tipe D_x000a_f. Tidak Tersedia Pasar di Desa" sqref="H2029" xr:uid="{00000000-0002-0000-0100-000034050000}">
      <formula1>"a, b, c, d, e, f"</formula1>
    </dataValidation>
    <dataValidation allowBlank="1" showInputMessage="1" showErrorMessage="1" promptTitle="Dampak di Bidang Ekonomi" prompt=" " sqref="H392" xr:uid="{00000000-0002-0000-0100-000035050000}"/>
    <dataValidation type="decimal" allowBlank="1" showInputMessage="1" showErrorMessage="1" error="Tidak Terdapat Gudang Pangan Milik Pemerintah di Desa._x000a_Diisi 0 (NOL)" sqref="H1383" xr:uid="{00000000-0002-0000-0100-000036050000}">
      <formula1>0</formula1>
      <formula2>IF(H1380="tidak ada",0,10000)</formula2>
    </dataValidation>
    <dataValidation type="whole" operator="greaterThanOrEqual" allowBlank="1" showInputMessage="1" showErrorMessage="1" promptTitle="Anggaran Bangun Rumah Tahun 2023" prompt="Input dengan Angka" sqref="H873" xr:uid="{00000000-0002-0000-0100-000037050000}">
      <formula1>0</formula1>
    </dataValidation>
    <dataValidation type="whole" allowBlank="1" showInputMessage="1" showErrorMessage="1" promptTitle="Frek Kejadian Bencana" prompt="Angin Puyuh/ Puting Beliung/ Topan_x000a_(Kali/Tahun)" sqref="H1492" xr:uid="{00000000-0002-0000-0100-000038050000}">
      <formula1>0</formula1>
      <formula2>24</formula2>
    </dataValidation>
    <dataValidation type="list" allowBlank="1" showInputMessage="1" showErrorMessage="1" promptTitle="Pengolahan Sampah yg Dilakukan" prompt="1: Tidak diolah_x000a_5: Diolah" sqref="H2088" xr:uid="{00000000-0002-0000-0100-000039050000}">
      <formula1>"1,5"</formula1>
    </dataValidation>
    <dataValidation type="list" showInputMessage="1" showErrorMessage="1" promptTitle="Terdapat Perjanjian Kerjasama" prompt="0: Tidak Ada_x000a_1: Ada" sqref="H1575" xr:uid="{00000000-0002-0000-0100-00003A050000}">
      <formula1>"0,1"</formula1>
    </dataValidation>
    <dataValidation type="list" allowBlank="1" showInputMessage="1" showErrorMessage="1" promptTitle="RTH Hutan Desa" prompt="1: Tidak ada fasilitas_x000a_2: Ada, kondisi rusak parah_x000a_3: Ada, Kondisi rusak sedang_x000a_4: Ada, kondisi rusak ringan_x000a_5: Ada, kondisi baik" sqref="H2001" xr:uid="{00000000-0002-0000-0100-00003B050000}">
      <formula1>"1,2,3,4,5"</formula1>
    </dataValidation>
    <dataValidation type="list" allowBlank="1" showInputMessage="1" showErrorMessage="1" promptTitle="Akomodir Usulan Perencanaan Desa" prompt="0: Usulan dalam Musdes tidak diakomodir dalam dokumen perencanaan desa_x000a_1: Usulan dalam Musdes diakomodir dalam dokumen perencanaan desa" sqref="H2225" xr:uid="{00000000-0002-0000-0100-00003C050000}">
      <formula1>"0,1"</formula1>
    </dataValidation>
    <dataValidation type="decimal" allowBlank="1" showInputMessage="1" showErrorMessage="1" promptTitle="Total Produksi Panen dalam 1 Thn" prompt="Sebutkan (Ton Per Tahun)" sqref="H1169" xr:uid="{00000000-0002-0000-0100-00003D050000}">
      <formula1>0</formula1>
      <formula2>IF(H1038="Tidak ada",0,25000)</formula2>
    </dataValidation>
    <dataValidation type="whole" operator="lessThanOrEqual" allowBlank="1" showInputMessage="1" showErrorMessage="1" promptTitle="Waktu Tempuh ke Poskesdes/Polind" prompt="(Menit)" sqref="H597" xr:uid="{00000000-0002-0000-0100-00003E050000}">
      <formula1>600</formula1>
    </dataValidation>
    <dataValidation allowBlank="1" showInputMessage="1" showErrorMessage="1" prompt="Tahun dan Bulan" sqref="H45" xr:uid="{00000000-0002-0000-0100-000040050000}"/>
    <dataValidation allowBlank="1" showInputMessage="1" showErrorMessage="1" promptTitle="Kejadian Bencana" prompt="Ada_x000a_Tidak Ada_x000a_(IDM L 508.i)" sqref="H2109" xr:uid="{00000000-0002-0000-0100-000041050000}"/>
    <dataValidation type="decimal" operator="lessThanOrEqual" allowBlank="1" showInputMessage="1" showErrorMessage="1" error="Tidak terdapat Perkebunan Kina._x000a_Diisi 0 (NOL)" promptTitle="Total Produksi dalam 1 Tahun" prompt="Sebutkan (Satuan Ton)_x000a_" sqref="H447" xr:uid="{00000000-0002-0000-0100-000042050000}">
      <formula1>IF(H443="Tidak ada",0,10000)</formula1>
    </dataValidation>
    <dataValidation type="custom" operator="greaterThanOrEqual" allowBlank="1" showInputMessage="1" showErrorMessage="1" promptTitle="Jlh KK BAB Jamban Umum" prompt="Input dengan angka" sqref="H908" xr:uid="{00000000-0002-0000-0100-000043050000}">
      <formula1>($H$906+$H$907+$H$908+$H$909)&lt;=$H$499</formula1>
    </dataValidation>
    <dataValidation type="list" allowBlank="1" showInputMessage="1" showErrorMessage="1" promptTitle="Layann Internet WiFi Kantor Desa" prompt="Tidak Ada_x000a_Indihome_x000a_First Media_x000a_MNC Play_x000a_Biznet_x000a_XL Home_x000a_Smartfren_x000a_Indosat GIG_x000a_Icon + PLN_x000a_My Republic_x000a_CBN Fiber_x000a_Lainnya" sqref="H946" xr:uid="{00000000-0002-0000-0100-000044050000}">
      <formula1>IF($H$944=0,Tidak_Ada,wifi)</formula1>
    </dataValidation>
    <dataValidation type="textLength" allowBlank="1" showInputMessage="1" showErrorMessage="1" promptTitle="Masa Jabatan Plt/ Kepala Desa" prompt="Tahun dan Bulan_x000a_Cth: 4 Tahun 6 Bulan" sqref="H42" xr:uid="{00000000-0002-0000-0100-000045050000}">
      <formula1>7</formula1>
      <formula2>16</formula2>
    </dataValidation>
    <dataValidation type="decimal" allowBlank="1" showInputMessage="1" showErrorMessage="1" promptTitle="Total Produksi Panen dalam 1 Thn" prompt="Sebutkan (Ton Per Tahun)" sqref="H1154" xr:uid="{00000000-0002-0000-0100-000046050000}">
      <formula1>0</formula1>
      <formula2>IF(H1038="Tidak ada",0,25000)</formula2>
    </dataValidation>
    <dataValidation type="list" allowBlank="1" showInputMessage="1" showErrorMessage="1" promptTitle="Pihak Dampingan Wisata Air Panas" prompt="Tidak Ada_x000a_Pemerintah_x000a_BUMN_x000a_BUMD_x000a_Swasta (CSR)_x000a_Akademisi_x000a_Lainnya" sqref="H163" xr:uid="{00000000-0002-0000-0100-000047050000}">
      <formula1>IF(H159="tidak ada",Tidak_Ada,Pendamping_wisata)</formula1>
    </dataValidation>
    <dataValidation type="whole" allowBlank="1" showInputMessage="1" showErrorMessage="1" error="Tidak Terdapat konflik" promptTitle="Jlh Kejadian Konfik" prompt="Antara Kelompok Masyarakat dengan Aparat Pemerinah_x000a_(Kasus)" sqref="H808" xr:uid="{00000000-0002-0000-0100-000048050000}">
      <formula1>0</formula1>
      <formula2>IF(H804=0,0,50)</formula2>
    </dataValidation>
    <dataValidation type="list" showInputMessage="1" showErrorMessage="1" promptTitle="Penghasilan" prompt="Sumber penghasilan utama penduduk Desa _x000a_1: Pertanian (termasuk Perkebunan, Peternakan, Perikanan)_x000a_2: Industri_x000a_3: Perdagangan, Transportasi, dan Jasa_x000a_4. Pariwisata_x000a_5. Lainnya" sqref="H958" xr:uid="{00000000-0002-0000-0100-000049050000}">
      <formula1>"1,2,3,4,5"</formula1>
    </dataValidation>
    <dataValidation type="list" allowBlank="1" showInputMessage="1" showErrorMessage="1" promptTitle="Hutan Negara dikelola Perhutani" prompt="Ada_x000a_Tidak Ada" sqref="H246" xr:uid="{00000000-0002-0000-0100-00004C050000}">
      <formula1>"Ada, Tidak Ada"</formula1>
    </dataValidation>
    <dataValidation type="decimal" allowBlank="1" showInputMessage="1" showErrorMessage="1" promptTitle="Total Produksi Panen dalam 1 Thn" prompt="Sebutkan (Ton Per Tahun)" sqref="H1081" xr:uid="{00000000-0002-0000-0100-00004D050000}">
      <formula1>0</formula1>
      <formula2>IF(H1038="Tidak ada",0,25000)</formula2>
    </dataValidation>
    <dataValidation type="decimal" operator="lessThanOrEqual" allowBlank="1" showInputMessage="1" showErrorMessage="1" promptTitle="Jarak SD/MI T'dekat" prompt=" " sqref="H675" xr:uid="{00000000-0002-0000-0100-00004E050000}">
      <formula1>250000</formula1>
    </dataValidation>
    <dataValidation type="list" allowBlank="1" showInputMessage="1" showErrorMessage="1" promptTitle="RTH Taman Desa" prompt="1: Tidak ada fasilitas_x000a_2: Ada, kondisi rusak parah_x000a_3: Ada, Kondisi rusak sedang_x000a_4: Ada, kondisi rusak ringan_x000a_5: Ada, kondisi baik" sqref="H1999" xr:uid="{00000000-0002-0000-0100-00004F050000}">
      <formula1>"1,2,3,4,5"</formula1>
    </dataValidation>
    <dataValidation type="list" allowBlank="1" showInputMessage="1" showErrorMessage="1" promptTitle="Bidang Terdampak Pendampingan" prompt="0: Tidak Ada Pendampingan_x000a_1: Bidang Ekonomi_x000a_2: Bidang Sosial Budaya_x000a_3: Bidang Pemberdayaan Masyarakat" sqref="H1526" xr:uid="{00000000-0002-0000-0100-000050050000}">
      <formula1>"0,1,2,3"</formula1>
    </dataValidation>
    <dataValidation allowBlank="1" showInputMessage="1" showErrorMessage="1" promptTitle="Terdapat Layanan Fasilitas KUR" prompt="1: Tidak ada_x000a_5: Ada_x000a_(IDM E 536.c)" sqref="H2072" xr:uid="{00000000-0002-0000-0100-000051050000}"/>
    <dataValidation allowBlank="1" showInputMessage="1" showErrorMessage="1" promptTitle="Nabati/Organik Cair/ Hayati" prompt="Ada_x000a_Tidak Ada_x000a_(IDM S 399.e)" sqref="H1910" xr:uid="{00000000-0002-0000-0100-000052050000}"/>
    <dataValidation type="list" allowBlank="1" showInputMessage="1" showErrorMessage="1" promptTitle="Terdapat Keg OR Sepak Bola" prompt="1. Tidak terdapat Kegiatan_x000a_2. Terdapat 1 Kali Kegiatan_x000a_3. Terdapat 2-3 Kali Kegiatan_x000a_4. Terdapat 4-5 Kali Kegiatan_x000a_5. Terdapat &gt;5 Kali Kegiatan" sqref="H1944" xr:uid="{00000000-0002-0000-0100-000053050000}">
      <formula1>"1,2,3,4,5"</formula1>
    </dataValidation>
    <dataValidation allowBlank="1" showInputMessage="1" showErrorMessage="1" promptTitle="Ketersedia &amp; Kepemilikan Jamban" prompt="1: Masih menggunakan jamban komunal_x000a_3: Sebagian kecil rumah tangga sudah memiliki jamban individu (&lt;50%)_x000a_5: Sebagian besar rumah tangga sudah memiliki jamban individu (≥50%)" sqref="H1881" xr:uid="{00000000-0002-0000-0100-000054050000}"/>
    <dataValidation type="list" showInputMessage="1" showErrorMessage="1" promptTitle="Kehadiran Warga Acara Lainnya" prompt="Keterangan:_x000a_0 : Tidak_x000a_1 : Ya" sqref="H799" xr:uid="{00000000-0002-0000-0100-000056050000}">
      <formula1>"0,1"</formula1>
    </dataValidation>
    <dataValidation type="whole" operator="lessThanOrEqual" allowBlank="1" showInputMessage="1" showErrorMessage="1" promptTitle="Jlh Tunalaras &lt;20thn tdk sklh" prompt=" " sqref="H697" xr:uid="{00000000-0002-0000-0100-000057050000}">
      <formula1>250</formula1>
    </dataValidation>
    <dataValidation type="whole" operator="greaterThanOrEqual" allowBlank="1" showInputMessage="1" showErrorMessage="1" promptTitle="Bantuan Provinsi Tahun 2023" prompt=" " sqref="H1603" xr:uid="{00000000-0002-0000-0100-000058050000}">
      <formula1>0</formula1>
    </dataValidation>
    <dataValidation allowBlank="1" showInputMessage="1" showErrorMessage="1" promptTitle="Perahu/Kapal Milik Lainnya" prompt="Sebutkan_x000a_" sqref="H489" xr:uid="{00000000-0002-0000-0100-000059050000}"/>
    <dataValidation type="list" allowBlank="1" showInputMessage="1" showErrorMessage="1" promptTitle="Penyelesaian Konflik Sesuai Adat" prompt="Keterangan:_x000a_0 : Tidak_x000a_1 : Ya" sqref="H828" xr:uid="{00000000-0002-0000-0100-00005A050000}">
      <formula1>"0,1"</formula1>
    </dataValidation>
    <dataValidation type="decimal" allowBlank="1" showInputMessage="1" showErrorMessage="1" error="Tidak Terdapat Produk Unggulan,_x000a_Diisi 0 (Nol)" promptTitle="Luas Lahan Tanaman " prompt="(Dalam Satuan Luas Ha)_x000a_1 Km2 = 100 Ha" sqref="H1052" xr:uid="{00000000-0002-0000-0100-00005B050000}">
      <formula1>0</formula1>
      <formula2>IF(H1050="Tidak Ada",0,25000)</formula2>
    </dataValidation>
    <dataValidation type="decimal" allowBlank="1" showInputMessage="1" showErrorMessage="1" promptTitle="Total Produksi Panen dalam 1 Thn" prompt="Sebutkan (Ton Per Tahun)" sqref="H1123" xr:uid="{00000000-0002-0000-0100-00005C050000}">
      <formula1>0</formula1>
      <formula2>IF(H1038="Tidak ada",0,25000)</formula2>
    </dataValidation>
    <dataValidation type="whole" operator="lessThanOrEqual" allowBlank="1" showInputMessage="1" showErrorMessage="1" errorTitle="PERHATIKAN JUMLAH PENDUDUK" error="CEK JUMLAH PENDUDUK DI DESA, Tidak dapat Melebihi Jumlah Penduduk._x000a_Tidak Terdapat Tambang Gas Alam_x000a_(Hanya diInput Angka)" promptTitle="Jlh Naker Tambang Gas Alam" prompt=" (Diisi Angka)" sqref="H274" xr:uid="{00000000-0002-0000-0100-00005D050000}">
      <formula1>IF(H272="tidak ada",0,$H$493)</formula1>
    </dataValidation>
    <dataValidation allowBlank="1" showInputMessage="1" showErrorMessage="1" prompt="(IDM E 528.b dan E 529.b)" sqref="H2055" xr:uid="{00000000-0002-0000-0100-000061050000}"/>
    <dataValidation type="decimal" allowBlank="1" showInputMessage="1" showErrorMessage="1" promptTitle="Total Produksi Panen dalam 1 Thn" prompt="Sebutkan (Ton Per Tahun)" sqref="H1114" xr:uid="{00000000-0002-0000-0100-000062050000}">
      <formula1>0</formula1>
      <formula2>IF(H1038="Tidak ada",0,25000)</formula2>
    </dataValidation>
    <dataValidation type="list" allowBlank="1" showInputMessage="1" showErrorMessage="1" promptTitle="Produk Unggulan Kacang Tanah" prompt="Ada_x000a_Tidak Ada" sqref="H972" xr:uid="{00000000-0002-0000-0100-000063050000}">
      <formula1>"Ada, Tidak Ada"</formula1>
    </dataValidation>
    <dataValidation type="whole" operator="lessThanOrEqual" allowBlank="1" showInputMessage="1" showErrorMessage="1" promptTitle="Jumlah Bunuh Diri di Desa" prompt="Input dengan Angka" sqref="H863" xr:uid="{00000000-0002-0000-0100-000064050000}">
      <formula1>50</formula1>
    </dataValidation>
    <dataValidation allowBlank="1" showInputMessage="1" showErrorMessage="1" promptTitle="Pihak Kelola Perkebunan Tembakau" prompt="Sebutkan_x000a_" sqref="H464" xr:uid="{00000000-0002-0000-0100-000065050000}"/>
    <dataValidation type="list" allowBlank="1" showInputMessage="1" showErrorMessage="1" promptTitle="Jenis Jalan Kabupaten" prompt="Ya_x000a_Tidak" sqref="H2126" xr:uid="{00000000-0002-0000-0100-000066050000}">
      <formula1>"Ya, Tidak"</formula1>
    </dataValidation>
    <dataValidation allowBlank="1" showInputMessage="1" showErrorMessage="1" promptTitle="Pemerintah Menyelesaikan Konflik" prompt="1: Tidak Ada_x000a_5: Ada_x000a_(IDM S 378.c)" sqref="H1975" xr:uid="{00000000-0002-0000-0100-000067050000}"/>
    <dataValidation type="list" allowBlank="1" showInputMessage="1" showErrorMessage="1" promptTitle="Konflik antar Pelajar/Pemuda/" prompt="Ada_x000a_Tidak Ada" sqref="H1964" xr:uid="{00000000-0002-0000-0100-000068050000}">
      <formula1>IF($H$1954="Tidak Ada",Tidak_Ada,Ada)</formula1>
    </dataValidation>
    <dataValidation type="list" allowBlank="1" showInputMessage="1" showErrorMessage="1" promptTitle="Memperingati Hari Jadi Desa" prompt="Ada_x000a_Tidak Ada" sqref="H1510" xr:uid="{00000000-0002-0000-0100-000069050000}">
      <formula1>"Ada, Tidak Ada"</formula1>
    </dataValidation>
    <dataValidation type="list" allowBlank="1" showInputMessage="1" showErrorMessage="1" promptTitle="Terdapat Tambang Batu Bara" prompt="Ada_x000a_Tidak Ada" sqref="H284" xr:uid="{00000000-0002-0000-0100-00006B050000}">
      <formula1>"Ada, Tidak Ada"</formula1>
    </dataValidation>
    <dataValidation type="list" allowBlank="1" showInputMessage="1" showErrorMessage="1" promptTitle="Tersedia Tempat Praktik Dokter" prompt="Tersedia_x000a_Tidak Tersedia" sqref="H1793" xr:uid="{00000000-0002-0000-0100-00006C050000}">
      <formula1>"Tersedia, Tidak Tersedia"</formula1>
    </dataValidation>
    <dataValidation type="list" showInputMessage="1" showErrorMessage="1" promptTitle="Sumber air Sungai" prompt="Ya_x000a_Tidak" sqref="H1477" xr:uid="{00000000-0002-0000-0100-00006D050000}">
      <formula1>IF($H$1474=3, Tidak_Ada,Ya)</formula1>
    </dataValidation>
    <dataValidation type="list" showInputMessage="1" showErrorMessage="1" promptTitle="Terdapat Kelompok Peternakan?" prompt="Keterangan:_x000a_0 : Tidak Ada_x000a_1 : Ada" sqref="H750" xr:uid="{00000000-0002-0000-0100-00006E050000}">
      <formula1>"0,1"</formula1>
    </dataValidation>
    <dataValidation type="list" allowBlank="1" showInputMessage="1" showErrorMessage="1" promptTitle="RTNH Landmark" prompt="1: Tidak ada fasilitas_x000a_2: Ada, kondisi rusak parah_x000a_3: Ada, Kondisi rusak sedang_x000a_4: Ada, kondisi rusak ringan_x000a_5: Ada, kondisi baik" sqref="H2004" xr:uid="{00000000-0002-0000-0100-00006F050000}">
      <formula1>"1,2,3,4,5"</formula1>
    </dataValidation>
    <dataValidation allowBlank="1" showInputMessage="1" showErrorMessage="1" promptTitle="Sumber Air Minum dari PDAM" prompt="Ada_x000a_Tidak Ada_x000a_(IDM S 390.b - S 390.c)" sqref="H1889" xr:uid="{00000000-0002-0000-0100-000070050000}"/>
    <dataValidation type="list" allowBlank="1" showInputMessage="1" showErrorMessage="1" promptTitle="Tersedia Motor" prompt="Ada_x000a_Tidak Ada" sqref="H1806" xr:uid="{00000000-0002-0000-0100-000072050000}">
      <formula1>"Ada, Tidak Ada"</formula1>
    </dataValidation>
    <dataValidation type="decimal" allowBlank="1" showInputMessage="1" showErrorMessage="1" error="Tidak Terdapat Produk Unggulan,_x000a_Diisi 0 (Nol)" promptTitle="Luas Lahan Tanaman " prompt="(Dalam Satuan Luas Ha)_x000a_1 Km2 = 100 Ha" sqref="H1263" xr:uid="{00000000-0002-0000-0100-000073050000}">
      <formula1>0</formula1>
      <formula2>IF(H1038="Tidak Ada",0,25000)</formula2>
    </dataValidation>
    <dataValidation type="decimal" operator="lessThanOrEqual" allowBlank="1" showInputMessage="1" showErrorMessage="1" error="Tidak terdapat Perkebunan Tembakau._x000a_Diisi 0 (NOL)" promptTitle="Total Produksi dalam 1 Tahun" prompt="Sebutkan (Satuan Ton)_x000a_" sqref="H465" xr:uid="{00000000-0002-0000-0100-000074050000}">
      <formula1>IF(H461="Tidak ada",0,10000)</formula1>
    </dataValidation>
    <dataValidation type="list" showInputMessage="1" showErrorMessage="1" promptTitle="Tingkat Pendidikan" prompt="Keterangan:_x000a_0: Tidak Sekolah_x000a_1 : Tamat Sarjana/D1/D3/Sederajat_x000a_2 : Tamat SMA/Sederajat_x000a_3 : Tamat SMP/Sederajat_x000a_4 : Tamat SD/Sederajat_x000a_5: Tidak Tamat SD" sqref="H701" xr:uid="{00000000-0002-0000-0100-000075050000}">
      <formula1>"0,1,2,3,4,5"</formula1>
    </dataValidation>
    <dataValidation type="whole" operator="lessThanOrEqual" allowBlank="1" showInputMessage="1" showErrorMessage="1" error="Tidak Terdapat Wisata Seni dan Tradisi,_x000a_Diisi 0 (Nol)" promptTitle="Jlh Naker DesWita Seni &amp; Tradisi" prompt="Isi dengan Angka" sqref="H232" xr:uid="{00000000-0002-0000-0100-000076050000}">
      <formula1>IF(H226="tidak ada",0,10000)</formula1>
    </dataValidation>
    <dataValidation type="list" allowBlank="1" showInputMessage="1" showErrorMessage="1" promptTitle="Jaringan Internet XL Axiata" prompt="Tidak Ada_x000a_2G/ 2.5G/ GPRS/ EDGE_x000a_3G/ 3.5G/ HSDPA/ EVDO_x000a_4G LTE_x000a_5G" sqref="H937" xr:uid="{00000000-0002-0000-0100-000077050000}">
      <formula1>IF($H$936=0,Tidak_Ada,sinyal)</formula1>
    </dataValidation>
    <dataValidation type="whole" operator="lessThanOrEqual" allowBlank="1" showInputMessage="1" showErrorMessage="1" promptTitle="Waktu Tempuh SD/MI T'dekat" prompt=" " sqref="H676" xr:uid="{00000000-0002-0000-0100-000078050000}">
      <formula1>180</formula1>
    </dataValidation>
    <dataValidation type="whole" operator="lessThanOrEqual" allowBlank="1" showInputMessage="1" showErrorMessage="1" error="Tidak Terdapat Gudang Pangan Milik Swasta di Desa._x000a_Diisi 0 (NOL)" sqref="H1377" xr:uid="{00000000-0002-0000-0100-00007A050000}">
      <formula1>IF(H1376="tidak ada",0,50)</formula1>
    </dataValidation>
    <dataValidation type="list" allowBlank="1" showInputMessage="1" showErrorMessage="1" promptTitle="Adanya PMKS Gelandangan/Pengemis" prompt="Keterangan:_x000a_0 : Tidak Ada_x000a_1 : Ada" sqref="H861" xr:uid="{00000000-0002-0000-0100-00007C050000}">
      <formula1>"0,1"</formula1>
    </dataValidation>
    <dataValidation type="list" allowBlank="1" showInputMessage="1" showErrorMessage="1" promptTitle="Layanan Bidan Melalui RS" prompt="Ada_x000a_Tidak Ada" sqref="H1846" xr:uid="{00000000-0002-0000-0100-00007D050000}">
      <formula1>"Ada, Tidak Ada"</formula1>
    </dataValidation>
    <dataValidation allowBlank="1" showInputMessage="1" showErrorMessage="1" promptTitle="Nama Ketua Bumdesa" prompt=" " sqref="H1454" xr:uid="{00000000-0002-0000-0100-00007E050000}"/>
    <dataValidation type="list" showInputMessage="1" showErrorMessage="1" promptTitle="Tdapat Bumdesa Keuangan" prompt="Terdapat Bumdesa Keuangan Bidang UED SP _x000a_0: Tidak Ada_x000a_1: Ada" sqref="H1424" xr:uid="{00000000-0002-0000-0100-00007F050000}">
      <formula1>IF($H$1422=0,Tidak_tersedia,Tersedia)</formula1>
    </dataValidation>
    <dataValidation type="list" allowBlank="1" showInputMessage="1" showErrorMessage="1" promptTitle="Terdapat Wisata Budaya DesaWita" prompt="Ada_x000a_Tidak Ada" sqref="H205" xr:uid="{00000000-0002-0000-0100-000080050000}">
      <formula1>"Ada, Tidak Ada"</formula1>
    </dataValidation>
    <dataValidation type="whole" operator="greaterThanOrEqual" allowBlank="1" showInputMessage="1" showErrorMessage="1" promptTitle="Anggaran Bangun Rumah Tahun 2021" prompt="Input dengan Angka" sqref="H871" xr:uid="{00000000-0002-0000-0100-000081050000}">
      <formula1>0</formula1>
    </dataValidation>
    <dataValidation type="list" allowBlank="1" showInputMessage="1" showErrorMessage="1" promptTitle="Transportasi SMP/MTs/Sederajat" prompt="Ada_x000a_Tidak Ada" sqref="H1764" xr:uid="{00000000-0002-0000-0100-000082050000}">
      <formula1>"Ada, Tidak Ada"</formula1>
    </dataValidation>
    <dataValidation type="whole" operator="greaterThanOrEqual" allowBlank="1" showInputMessage="1" showErrorMessage="1" promptTitle="DD Tahun 2024" prompt=" " sqref="H1596" xr:uid="{00000000-0002-0000-0100-000083050000}">
      <formula1>0</formula1>
    </dataValidation>
    <dataValidation type="decimal" allowBlank="1" showInputMessage="1" showErrorMessage="1" error="Tidak Terdapat Produk Unggulan,_x000a_Diisi 0 (Nol)" promptTitle="Total Produksi Panen dalam 1 Thn" prompt="Sebutkan (Ton Per Tahun)" sqref="H1296" xr:uid="{00000000-0002-0000-0100-000084050000}">
      <formula1>0</formula1>
      <formula2>IF(LEN(H1274)&lt;3,0,25000)</formula2>
    </dataValidation>
    <dataValidation type="list" allowBlank="1" showInputMessage="1" showErrorMessage="1" promptTitle="Pihak Pengelola Wisata Air Panas" prompt="Tidak Ada_x000a_Pemerintah_x000a_Swasta_x000a_BUMN_x000a_BUMD_x000a_BUM Des_x000a_BUM Des Bersama_x000a_Kelompok_x000a_Pribadi_x000a_Lainnya" sqref="H161" xr:uid="{00000000-0002-0000-0100-000085050000}">
      <formula1>IF(H159="Tidak Ada",Tidak_Ada,Pengelola_wisata)</formula1>
    </dataValidation>
    <dataValidation type="list" showInputMessage="1" showErrorMessage="1" promptTitle="Adanya Warga Beragama Kong Hu Cu" prompt="Keterangan:_x000a_0 : Tidak Ada_x000a_1 : Ada" sqref="H783" xr:uid="{00000000-0002-0000-0100-000086050000}">
      <formula1>"0,1"</formula1>
    </dataValidation>
    <dataValidation type="whole" operator="lessThanOrEqual" allowBlank="1" showInputMessage="1" showErrorMessage="1" error="Bukan Desa Bukan Desa Perikanan" promptTitle="Jlh Mayoritas alat P'tanian Desa" prompt="Input Menggunakan Angka" sqref="H1349" xr:uid="{00000000-0002-0000-0100-000087050000}">
      <formula1>IF(H1348=12,0,100)</formula1>
    </dataValidation>
    <dataValidation type="list" allowBlank="1" showInputMessage="1" showErrorMessage="1" promptTitle="Aset Berupa" prompt="1: Tidak Ada_x000a_3: Ada, tidak produktif untuk Kepentingan Masyarakat_x000a_5: Ada, produktif untuk Kepentingan Masyarakat" sqref="H2248" xr:uid="{00000000-0002-0000-0100-000088050000}">
      <formula1>"1,3,5"</formula1>
    </dataValidation>
    <dataValidation type="list" allowBlank="1" showInputMessage="1" showErrorMessage="1" promptTitle="Pengelola Wisata Pemandian Umum" prompt="Tidak Ada_x000a_Pemerintah_x000a_Swasta_x000a_BUMN_x000a_BUMD_x000a_BUM Des_x000a_BUM Des Bersama_x000a_Kelompok_x000a_Pribadi_x000a_Lainnya" sqref="H184" xr:uid="{00000000-0002-0000-0100-000089050000}">
      <formula1>IF(H182="Tidak Ada",Tidak_Ada,Pengelola_wisata)</formula1>
    </dataValidation>
    <dataValidation type="whole" operator="lessThanOrEqual" allowBlank="1" showInputMessage="1" showErrorMessage="1" errorTitle="Perhatian" error="Diisi &gt;0 jika Tersedia SLB di Desa. Tidak Ada SLB =0" promptTitle="Jlh SLB di Desa" prompt="(Unit)" sqref="H841" xr:uid="{00000000-0002-0000-0100-00008A050000}">
      <formula1>IF($H$840=0,0,5)</formula1>
    </dataValidation>
    <dataValidation type="list" allowBlank="1" showInputMessage="1" showErrorMessage="1" promptTitle="Buku Kegiatan Pembangunan" prompt="Diisi_x000a_Tidak Diisi" sqref="H2178" xr:uid="{00000000-0002-0000-0100-00008B050000}">
      <formula1>IF($H$2175="Belum",Tidak_Diisi,Diisi)</formula1>
    </dataValidation>
    <dataValidation type="whole" operator="lessThanOrEqual" allowBlank="1" showInputMessage="1" showErrorMessage="1" errorTitle="PERHATIKAN JUMLAH PENDUDUK" error="CEK JUMLAH PENDUDUK DI DESA, Tidak dapat Melebihi Jumlah Penduduk. Tidak Terdapat Tambang Golongan A Lainnya_x000a_(Hanya diInput Angka)" promptTitle="Jlh Naker Lokal Tambang Gol A" prompt=" (Diisi Angka)" sqref="H300" xr:uid="{00000000-0002-0000-0100-00008C050000}">
      <formula1>IF(H296="tidak ada",0,$H$493)</formula1>
    </dataValidation>
    <dataValidation type="decimal" allowBlank="1" showInputMessage="1" showErrorMessage="1" error="Tidak Terdapat Produk Unggulan,_x000a_Diisi 0 (Nol)" promptTitle="Luas Lahan Tanaman " prompt="(Dalam Satuan Luas Ha)_x000a_1 Km2 = 100 Ha" sqref="H1153" xr:uid="{00000000-0002-0000-0100-00008D050000}">
      <formula1>0</formula1>
      <formula2>IF(H1038="Tidak Ada",0,25000)</formula2>
    </dataValidation>
    <dataValidation type="decimal" allowBlank="1" showInputMessage="1" showErrorMessage="1" error="Tidak Terdapat Produk Unggulan,_x000a_Diisi 0 (Nol)" promptTitle="Luas Lahan Tanaman " prompt="(Dalam Satuan Luas Ha)_x000a_1 Km2 = 100 Ha" sqref="H1070" xr:uid="{00000000-0002-0000-0100-00008E050000}">
      <formula1>0</formula1>
      <formula2>IF(H1038="Tidak Ada",0,25000)</formula2>
    </dataValidation>
    <dataValidation type="whole" operator="lessThanOrEqual" allowBlank="1" showInputMessage="1" showErrorMessage="1" errorTitle="PERHATIKAN JUMLAH PENDUDUK" error="CEK JUMLAH PENDUDUK DI DESA, Tidak dapat Melebihi Jumlah Penduduk. Tidak Terdapat Tambang Minyak Bumi_x000a_(Hanya diInput Angka)" promptTitle="Jlh Naker Lokal Tambang Minyak B" prompt=" (Diisi Angka)" sqref="H269" xr:uid="{00000000-0002-0000-0100-00008F050000}">
      <formula1>IF(H266="tidak ada",0,$H$493)</formula1>
    </dataValidation>
    <dataValidation type="list" showInputMessage="1" showErrorMessage="1" promptTitle="Sebagian Warga Membuang Sampah" prompt="Keterangan:_x000a_1 : Tempat Sampah Kemudian Diangkut_x000a_2 : Dalam Lubang atau Dibakar_x000a_3 : Sungai/ Saluran Irigasi/ Danau/ Laut/ Got/ Selokan_x000a_4 : Lainnya" sqref="H910" xr:uid="{00000000-0002-0000-0100-000090050000}">
      <formula1>"1,2,3,4"</formula1>
    </dataValidation>
    <dataValidation type="list" showInputMessage="1" showErrorMessage="1" promptTitle="Pemberantasan Buta Aksara" prompt="Keterangan:_x000a_0 : Tidak Ada_x000a_1 : Ada" sqref="H727" xr:uid="{00000000-0002-0000-0100-000091050000}">
      <formula1>"0,1"</formula1>
    </dataValidation>
    <dataValidation type="list" showInputMessage="1" showErrorMessage="1" promptTitle="Penyelesaian konflik" prompt="Keterangan:_x000a_0 : Tidak_x000a_1 : Ya" sqref="H820" xr:uid="{00000000-0002-0000-0100-000092050000}">
      <formula1>"0,1"</formula1>
    </dataValidation>
    <dataValidation type="list" allowBlank="1" showInputMessage="1" showErrorMessage="1" promptTitle="Terdapat Konflik Terkait Lahan" prompt="0: Tidak Ada_x000a_1: Ada" sqref="H814" xr:uid="{00000000-0002-0000-0100-000093050000}">
      <formula1>"0,1"</formula1>
    </dataValidation>
    <dataValidation type="whole" operator="lessThanOrEqual" allowBlank="1" showInputMessage="1" showErrorMessage="1" promptTitle="Jumlah Suku Di Desa" prompt=" " sqref="H776" xr:uid="{00000000-0002-0000-0100-000094050000}">
      <formula1>10</formula1>
    </dataValidation>
    <dataValidation allowBlank="1" showInputMessage="1" showErrorMessage="1" promptTitle="Terdapat KASI yang Menjabat" prompt="Ada_x000a_Tidak Ada_x000a_(IDM 126.a/ 127.a/ 128.a)" sqref="H2195" xr:uid="{00000000-0002-0000-0100-000095050000}"/>
    <dataValidation allowBlank="1" showInputMessage="1" showErrorMessage="1" promptTitle="Terdapat Pencemaran Air" prompt="1: Ada_x000a_0: Tidak_x000a_(IDM L 503.a)" sqref="H2093" xr:uid="{00000000-0002-0000-0100-000096050000}"/>
    <dataValidation type="list" showInputMessage="1" showErrorMessage="1" promptTitle="Tdapat Bumdesa Keuangan" prompt="Terdapat Bumdesa Keuangan Bidang Agen 46_x000a_0: Tidak Ada_x000a_1: Ada" sqref="H1427" xr:uid="{00000000-0002-0000-0100-000097050000}">
      <formula1>IF($H$1422=0,Tidak_tersedia,Tersedia)</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Dokter" prompt="Jumlah Pekerja Dokter Perempuan" sqref="H530" xr:uid="{00000000-0002-0000-0100-000098050000}">
      <formula1>($H$511+$H$512+$H$513+$H$514+$H$515+$H$516+$H$517+$H$518+$H$519+$H$520+$H$521+$H$522+$H$523+$H$524+$H$525+$H$526+$H$527+$H$528+$H$529+$H$530+$H$531+$H$532+$H$533+$H$534+$H$535)&lt;=$H$493</formula1>
    </dataValidation>
    <dataValidation type="whole" operator="lessThanOrEqual" allowBlank="1" showInputMessage="1" showErrorMessage="1" promptTitle="Jumlah Bahasa Sehari-hari" prompt=" " sqref="H777" xr:uid="{00000000-0002-0000-0100-000099050000}">
      <formula1>10</formula1>
    </dataValidation>
    <dataValidation allowBlank="1" showInputMessage="1" showErrorMessage="1" promptTitle="Pihak Kelola Tambang Gol A Lain" prompt="Sebutkan_x000a_" sqref="H302" xr:uid="{00000000-0002-0000-0100-00009A050000}"/>
    <dataValidation type="whole" allowBlank="1" showInputMessage="1" showErrorMessage="1" sqref="H1780" xr:uid="{00000000-0002-0000-0100-00009B050000}">
      <formula1>0</formula1>
      <formula2>H1767</formula2>
    </dataValidation>
    <dataValidation type="list" allowBlank="1" showInputMessage="1" showErrorMessage="1" promptTitle="Total Anggaran PPMD Pihak Ke-3" prompt="Rupiah" sqref="H1541" xr:uid="{00000000-0002-0000-0100-00009C050000}">
      <formula1>"0,1,2"</formula1>
    </dataValidation>
    <dataValidation type="decimal" operator="lessThanOrEqual" allowBlank="1" showInputMessage="1" showErrorMessage="1" error="Tidak dapat Perkebunan Kopi._x000a_Diisi 0 (NOL)" promptTitle="Luas Area Perkebunan Kopi" prompt="(Dalam Satuan Luas Ha)_x000a_1 Km2 = 100 Ha" sqref="H426" xr:uid="{00000000-0002-0000-0100-00009D050000}">
      <formula1>IF(H425="Tidak ada",0,25000)</formula1>
    </dataValidation>
    <dataValidation type="custom" allowBlank="1" showInputMessage="1" showErrorMessage="1" error="Tidak Melebihi Jumlah Penduduk" sqref="H1723:H1727" xr:uid="{00000000-0002-0000-0100-00009E050000}">
      <formula1>($H$1723+$H$1724+$H$1725+$H$1726+$H$1727)&lt;=$H$1720</formula1>
    </dataValidation>
    <dataValidation type="whole" operator="lessThanOrEqual" allowBlank="1" showInputMessage="1" showErrorMessage="1" promptTitle="Jlh Mikro kecil-Industri RT" prompt="Input Menggunakan Angka" sqref="H1335" xr:uid="{00000000-0002-0000-0100-00009F050000}">
      <formula1>100</formula1>
    </dataValidation>
    <dataValidation type="list" showInputMessage="1" showErrorMessage="1" promptTitle="Kualitas Jalan" prompt="Kualitas permukaan jalan di Desa_x000a_1: Baik_x000a_2: Rusak sedang_x000a_3: Rusak parah" sqref="H1471" xr:uid="{00000000-0002-0000-0100-0000A0050000}">
      <formula1>"1,2,3"</formula1>
    </dataValidation>
    <dataValidation allowBlank="1" showInputMessage="1" showErrorMessage="1" promptTitle="Kejadian Bencana" prompt="Ada_x000a_Tidak Ada_x000a_(IDM L 508.f)" sqref="H2106" xr:uid="{00000000-0002-0000-0100-0000A2050000}"/>
    <dataValidation type="custom" operator="lessThanOrEqual" allowBlank="1" showInputMessage="1" showErrorMessage="1" errorTitle="Perhatikan Inputan Data" error="Total Penduduk Berdasarkan Struktur Usia Tidak Bisa Lebih Besar dari Total Penduduk di Desa" promptTitle="Penduduk Berdasarkan Usia" prompt="16-18 Tahun" sqref="H507" xr:uid="{00000000-0002-0000-0100-0000A3050000}">
      <formula1>SUM($H$503:$H$509)&lt;=$H$493</formula1>
    </dataValidation>
    <dataValidation type="decimal" allowBlank="1" showInputMessage="1" showErrorMessage="1" promptTitle="Luas Lahan Tanaman Ubi Jalar" prompt="(Dalam Satuan Luas Ha)_x000a_1 Km2 = 100 Ha" sqref="H981" xr:uid="{00000000-0002-0000-0100-0000A5050000}">
      <formula1>0</formula1>
      <formula2>IF(H980="tidak ada",0,25000)</formula2>
    </dataValidation>
    <dataValidation allowBlank="1" showInputMessage="1" showErrorMessage="1" promptTitle="Jarak (Meter) ke Pertokoan" prompt="(Diisi Angka)_x000a_IDM E 517.b" sqref="H2037" xr:uid="{00000000-0002-0000-0100-0000A6050000}"/>
    <dataValidation type="list" allowBlank="1" showInputMessage="1" showErrorMessage="1" promptTitle="Terdapat Konflik Antar Agama" prompt="Ada_x000a_Tidak Ada" sqref="H1968" xr:uid="{00000000-0002-0000-0100-0000A7050000}">
      <formula1>IF($H$1954="Tidak Ada",Tidak_Ada,Ada)</formula1>
    </dataValidation>
    <dataValidation type="list" showInputMessage="1" showErrorMessage="1" promptTitle="Keaktifan BKAD" prompt="0: Aktif_x000a_1: Tidak Aktif" sqref="H1547" xr:uid="{00000000-0002-0000-0100-0000A8050000}">
      <formula1>"0,1"</formula1>
    </dataValidation>
    <dataValidation type="list" allowBlank="1" showInputMessage="1" showErrorMessage="1" promptTitle="Topografi Wilayah Desa" prompt="Puncak_x000a_Tebing_x000a_Lereng_x000a_Dataran_x000a_Lembah" sqref="H1717" xr:uid="{00000000-0002-0000-0100-0000A9050000}">
      <formula1>"Puncak, Tebing, Lereng, Dataran, Lembah"</formula1>
    </dataValidation>
    <dataValidation type="whole" operator="lessThanOrEqual" allowBlank="1" showInputMessage="1" showErrorMessage="1" errorTitle="PERHATIKAN JUMLAH PENDUDUK" error="CEK JUMLAH PENDUDUK DI DESA, Tidak dapat Melebihi Jumlah Penduduk. Tidak Terdapat Tambang Pasir Batu_x000a_(Hanya diInput Angka)" promptTitle="Jlh Naker Lokal Tambang Psr Batu" prompt=" (Diisi Angka)" sqref="H363" xr:uid="{00000000-0002-0000-0100-0000AA050000}">
      <formula1>IF(H360="tidak ada",0,$H$493)</formula1>
    </dataValidation>
    <dataValidation type="decimal" allowBlank="1" showInputMessage="1" showErrorMessage="1" promptTitle="Total Produksi Panen dalam 1 Thn" prompt="Sebutkan (Ton Per Tahun)" sqref="H1194" xr:uid="{00000000-0002-0000-0100-0000AB050000}">
      <formula1>0</formula1>
      <formula2>IF(H1038="Tidak ada",0,25000)</formula2>
    </dataValidation>
    <dataValidation type="list" allowBlank="1" showInputMessage="1" showErrorMessage="1" promptTitle="Desa Tanggap Budaya" prompt="Ya_x000a_Tidak" sqref="H108" xr:uid="{00000000-0002-0000-0100-0000AC050000}">
      <formula1>"Ya, Tidak"</formula1>
    </dataValidation>
    <dataValidation type="list" allowBlank="1" showInputMessage="1" showErrorMessage="1" promptTitle="Transportasi Ojek Pangkalan" prompt="Ada_x000a_Tidak Ada" sqref="H2139" xr:uid="{00000000-0002-0000-0100-0000AD050000}">
      <formula1>"Ada, Tidak Ada"</formula1>
    </dataValidation>
    <dataValidation type="decimal" operator="lessThanOrEqual" allowBlank="1" showInputMessage="1" showErrorMessage="1" error="Tidak Tedapat Tambang Emas_x000a_Diisi 0 (NOL) " promptTitle="Luas Tambang Emas" prompt="(Dalam Satuan Luas Ha)_x000a_1 Km2 = 100 Ha" sqref="H323" xr:uid="{00000000-0002-0000-0100-0000AE050000}">
      <formula1>IF(H322="Tidak Ada",0,25000)</formula1>
    </dataValidation>
    <dataValidation type="list" showInputMessage="1" showErrorMessage="1" promptTitle="Tdapat Bumdesa Keuangan" prompt="Terdapat Bumdesa Keuangan Bidang Kredit _x000a_0: Tidak Ada_x000a_1: Ada" sqref="H1428" xr:uid="{00000000-0002-0000-0100-0000AF050000}">
      <formula1>IF($H$1422=0,Tidak_tersedia,Tersedia)</formula1>
    </dataValidation>
    <dataValidation type="list" allowBlank="1" showInputMessage="1" showErrorMessage="1" promptTitle="Transportasi ke Layanan Bidan" prompt="1: Tidak Tersedia Sarana Transportasi_x000a_5: Tersedia Sarana Transportasi" sqref="H1853" xr:uid="{00000000-0002-0000-0100-0000B0050000}">
      <formula1>"1,5"</formula1>
    </dataValidation>
    <dataValidation type="list" allowBlank="1" showInputMessage="1" showErrorMessage="1" promptTitle="Terdapat Perkebunan Karet" prompt="Ada_x000a_Tidak Ada" sqref="H398" xr:uid="{00000000-0002-0000-0100-0000B1050000}">
      <formula1>"Ada, Tidak Ada"</formula1>
    </dataValidation>
    <dataValidation type="whole" allowBlank="1" showInputMessage="1" showErrorMessage="1" promptTitle="Jumlah Musyawarah Insidental" prompt="( Diisi Angka)" sqref="H2220" xr:uid="{00000000-0002-0000-0100-0000B2050000}">
      <formula1>0</formula1>
      <formula2>24</formula2>
    </dataValidation>
    <dataValidation type="decimal" allowBlank="1" showInputMessage="1" showErrorMessage="1" promptTitle="Total Produksi Panen dalam 1 Thn" prompt="Sebutkan (Ton Per Tahun)" sqref="H1231" xr:uid="{00000000-0002-0000-0100-0000B3050000}">
      <formula1>0</formula1>
      <formula2>IF(H1038="Tidak ada",0,25000)</formula2>
    </dataValidation>
    <dataValidation type="list" showInputMessage="1" showErrorMessage="1" promptTitle="Terdapat Biogas" prompt="Keterangan:_x000a_0 : Tidak Ada_x000a_1 : Ada" sqref="H1362" xr:uid="{00000000-0002-0000-0100-0000B4050000}">
      <formula1>"0,1"</formula1>
    </dataValidation>
    <dataValidation type="list" allowBlank="1" showInputMessage="1" showErrorMessage="1" promptTitle="Perubahan Produk laut" prompt="Produksi produksi hasil tangkapan laut_x000a_0: Ya, Terdapat Penurunan_x000a_1: Ya, Terdapat Peningkatan_x000a_2: Tidak Terdapat Produk Tangkapan Laut_x000a_3: Tidak Ada Perubahan" sqref="H1333" xr:uid="{00000000-0002-0000-0100-0000B5050000}">
      <formula1>IF($H$1332=0,Laut,hasil_laut)</formula1>
    </dataValidation>
    <dataValidation type="list" showInputMessage="1" showErrorMessage="1" promptTitle="Sumber Air untuk Mandi dan Cuci" prompt="Sumber Air Ledeng dengan Meteran (PAM/PDAM)_x000a_Keterangan_x000a_0 : Tidak_x000a_1 : Ya" sqref="H895" xr:uid="{00000000-0002-0000-0100-0000B6050000}">
      <formula1>"0,1"</formula1>
    </dataValidation>
    <dataValidation type="decimal" allowBlank="1" showInputMessage="1" showErrorMessage="1" promptTitle="Total Produksi Panen dalam 1 Thn" prompt="Sebutkan (Ton Per Tahun)" sqref="H1059" xr:uid="{00000000-0002-0000-0100-0000B7050000}">
      <formula1>0</formula1>
      <formula2>IF(H1038="Tidak ada",0,25000)</formula2>
    </dataValidation>
    <dataValidation type="list" showInputMessage="1" showErrorMessage="1" promptTitle="Tdapat Bumdesa Pariwisata" prompt="Terdapat Bumdesa Parawisita _x000a_0: Tidak Ada_x000a_1: Ada" sqref="H1442" xr:uid="{00000000-0002-0000-0100-0000B8050000}">
      <formula1>IF(H$1397=0,Tidak_tersedia,Tersedia)</formula1>
    </dataValidation>
    <dataValidation type="list" allowBlank="1" showInputMessage="1" showErrorMessage="1" promptTitle="Sumber Listrik Non-PLN" prompt="Swasta_x000a_Swadaya_x000a_Perseorangan" sqref="H1913" xr:uid="{00000000-0002-0000-0100-0000BA050000}">
      <formula1>"Swasta, Swadaya, Perseorangan"</formula1>
    </dataValidation>
    <dataValidation type="decimal" operator="lessThanOrEqual" allowBlank="1" showInputMessage="1" showErrorMessage="1" promptTitle="Jarak Puskesmas Non Inap Tdekat" prompt="(Meter)" sqref="H559" xr:uid="{00000000-0002-0000-0100-0000BB050000}">
      <formula1>300000</formula1>
    </dataValidation>
    <dataValidation type="whole" operator="lessThanOrEqual" allowBlank="1" showInputMessage="1" showErrorMessage="1" promptTitle="Jlh Pst Kursus/Pelatihan Trampil" prompt=" " sqref="H725" xr:uid="{00000000-0002-0000-0100-0000BC050000}">
      <formula1>30</formula1>
    </dataValidation>
    <dataValidation allowBlank="1" showInputMessage="1" showErrorMessage="1" prompt="IDM S 346.c" sqref="H1750" xr:uid="{00000000-0002-0000-0100-0000BD050000}"/>
    <dataValidation type="whole" allowBlank="1" showInputMessage="1" showErrorMessage="1" error="Tidak Terdapat Kelompok/ Organisasi/ Lembaga Khusus Wanita._x000a_Max 24 kali/tahun" promptTitle="Jlh Frek Kel/Org/Lemb K Wanita" prompt="(Kali/Thn)" sqref="H755" xr:uid="{00000000-0002-0000-0100-0000BE050000}">
      <formula1>0</formula1>
      <formula2>IF(H754=0,0,24)</formula2>
    </dataValidation>
    <dataValidation type="list" allowBlank="1" showInputMessage="1" showErrorMessage="1" promptTitle="Terdapat Kejahatan Pembakaran" prompt="Keterangan:_x000a_0 : Tidak Ada_x000a_1 : Ada" sqref="H832" xr:uid="{00000000-0002-0000-0100-0000BF050000}">
      <formula1>"0,1"</formula1>
    </dataValidation>
    <dataValidation type="whole" operator="greaterThanOrEqual" allowBlank="1" showInputMessage="1" showErrorMessage="1" promptTitle="Waktu Tempuh SMU/MA/SMK T'dekat" prompt=" " sqref="H689" xr:uid="{00000000-0002-0000-0100-0000C1050000}">
      <formula1>0</formula1>
    </dataValidation>
    <dataValidation type="list" showInputMessage="1" showErrorMessage="1" promptTitle="Tdapat Bumdesa Keuangan" prompt="Terdapat Bumdesa Keuangan_x000a_0: Tidak Ada_x000a_1: Ada" sqref="H1422" xr:uid="{00000000-0002-0000-0100-0000C2050000}">
      <formula1>IF(H$1397=0,Tidak_tersedia,Tersedia)</formula1>
    </dataValidation>
    <dataValidation type="whole" allowBlank="1" showInputMessage="1" showErrorMessage="1" prompt="IDM 266.c" sqref="H1755" xr:uid="{00000000-0002-0000-0100-0000C3050000}">
      <formula1>0</formula1>
      <formula2>200</formula2>
    </dataValidation>
    <dataValidation type="list" showInputMessage="1" showErrorMessage="1" promptTitle="Tersedia Rumah Sakit" prompt="0: Tidak Ada_x000a_1: Ada_x000a__x000a_" sqref="H546" xr:uid="{00000000-0002-0000-0100-0000C4050000}">
      <formula1>"0,1"</formula1>
    </dataValidation>
    <dataValidation allowBlank="1" showInputMessage="1" showErrorMessage="1" promptTitle="APM Usia 13-15 SMP/MTIs/Sedrajat" prompt="1: 0 - 20%_x000a_2: &gt;20 - 40%_x000a_3: &gt;40 - 60%_x000a_4: &gt;60 - 80%_x000a_5: &gt;80 - 100%" sqref="H1769" xr:uid="{00000000-0002-0000-0100-0000C5050000}"/>
    <dataValidation type="list" showInputMessage="1" showErrorMessage="1" promptTitle="Kehadiran Warga Acara Kematian" prompt="Keterangan:_x000a_0 : Tidak_x000a_1 : Ya" sqref="H797" xr:uid="{00000000-0002-0000-0100-0000C6050000}">
      <formula1>"0,1"</formula1>
    </dataValidation>
    <dataValidation type="whole" operator="lessThanOrEqual" allowBlank="1" showInputMessage="1" showErrorMessage="1" promptTitle="Jlh KK Manfaatkn Energi Angin" prompt=" " sqref="H919" xr:uid="{00000000-0002-0000-0100-0000C7050000}">
      <formula1>$H$499</formula1>
    </dataValidation>
    <dataValidation type="whole" operator="lessThanOrEqual" allowBlank="1" showInputMessage="1" showErrorMessage="1" errorTitle="PERHATIKAN JUMLAH PENDUDUK" error="CEK JUMLAH PENDUDUK DI DESA, Tidak dapat Melebihi Jumlah Penduduk. Tidak Terdapat Tambang Golongan B Lainnya_x000a_(Hanya diInput Angka)" promptTitle="Jlh Naker Lokal Tambang Gol B" prompt=" (Diisi Angka)" sqref="H338" xr:uid="{00000000-0002-0000-0100-0000C8050000}">
      <formula1>IF(H334="tidak ada",0,$H$493)</formula1>
    </dataValidation>
    <dataValidation type="decimal" allowBlank="1" showInputMessage="1" showErrorMessage="1" error="Tidak Terdapat Produk Unggulan,_x000a_Diisi 0 (Nol)" promptTitle="Luas Lahan Tanaman " prompt="(Dalam Satuan Luas Ha)_x000a_1 Km2 = 100 Ha" sqref="H1239" xr:uid="{00000000-0002-0000-0100-0000C9050000}">
      <formula1>0</formula1>
      <formula2>IF(H1038="Tidak Ada",0,25000)</formula2>
    </dataValidation>
    <dataValidation type="list" allowBlank="1" showInputMessage="1" showErrorMessage="1" promptTitle="Bidang Kerjasama Bumdes Pihak 3" prompt="0: Tidak Ada_x000a_1: Kehutanan_x000a_2: Pertambangan_x000a_3: Perkebunan_x000a_4: Pertanian_x000a_5: Ekonomi_x000a_6: Pemberdayaan Masyarakat_x000a_7: Lainnya" sqref="H1573" xr:uid="{00000000-0002-0000-0100-0000CA050000}">
      <formula1>"0,1,2,3,4,5,6,7"</formula1>
    </dataValidation>
    <dataValidation type="list" allowBlank="1" showInputMessage="1" showErrorMessage="1" promptTitle="Terdapat Tambang Minyak Bumi" prompt="Ada_x000a_Tidak Ada" sqref="H266" xr:uid="{00000000-0002-0000-0100-0000CB050000}">
      <formula1>"Ada, Tidak Ada"</formula1>
    </dataValidation>
    <dataValidation type="whole" allowBlank="1" showInputMessage="1" showErrorMessage="1" promptTitle="Frek Kejadian Bencana" prompt="Lainnya_x000a_(Kali/Tahun)" sqref="H1497" xr:uid="{00000000-0002-0000-0100-0000CC050000}">
      <formula1>0</formula1>
      <formula2>24</formula2>
    </dataValidation>
    <dataValidation type="decimal" allowBlank="1" showInputMessage="1" showErrorMessage="1" error="Tidak Terdapat Produk Unggulan,_x000a_Diisi 0 (Nol)" promptTitle="Luas Lahan Tanaman " prompt="(Dalam Satuan Luas Ha)_x000a_1 Km2 = 100 Ha" sqref="H1248" xr:uid="{00000000-0002-0000-0100-0000CD050000}">
      <formula1>0</formula1>
      <formula2>IF(H1038="Tidak Ada",0,25000)</formula2>
    </dataValidation>
    <dataValidation allowBlank="1" showInputMessage="1" showErrorMessage="1" promptTitle="Sebagian Besar Warga XL-Axiata" prompt="Ada_x000a_Tidak Ada_x000a_(IDM S 401.c1)" sqref="H1920" xr:uid="{00000000-0002-0000-0100-0000CE050000}"/>
    <dataValidation type="list" allowBlank="1" showInputMessage="1" showErrorMessage="1" promptTitle="Desa Berbatasan lansung dgn Laut" prompt="Iya_x000a_Tidak" sqref="H481" xr:uid="{00000000-0002-0000-0100-0000CF050000}">
      <formula1>"Iya, Tidak"</formula1>
    </dataValidation>
    <dataValidation type="list" showInputMessage="1" showErrorMessage="1" promptTitle="Tersedia Puskesmas Pembantu" prompt="0: Tidak Ada_x000a_1: Ada_x000a__x000a_" sqref="H562" xr:uid="{00000000-0002-0000-0100-0000D0050000}">
      <formula1>"0,1"</formula1>
    </dataValidation>
    <dataValidation type="list" showInputMessage="1" showErrorMessage="1" promptTitle="Kerjasama Dengan Pihak Swasta" prompt="0: Tidak Ada_x000a_1: Ada" sqref="H1567" xr:uid="{00000000-0002-0000-0100-0000D1050000}">
      <formula1>"0,1"</formula1>
    </dataValidation>
    <dataValidation allowBlank="1" showInputMessage="1" showErrorMessage="1" promptTitle="Nama Lengkap Kaur Keuangan" prompt=" " sqref="H70" xr:uid="{00000000-0002-0000-0100-0000D2050000}"/>
    <dataValidation type="custom" operator="greaterThanOrEqual" allowBlank="1" showInputMessage="1" showErrorMessage="1" errorTitle="JLH PENDUDUK pd BIDANG PEKERJAAN" error="Total pendudukn Berdasarkan PEKERJAAN Harus LEBIH KECIL dari TOTAL PENDUDUK di Desa" promptTitle="Jumlah Pekerjaan Perawat" prompt="Jumlah Pekerja Perawat Laki-Laki" sqref="H532" xr:uid="{00000000-0002-0000-0100-0000D3050000}">
      <formula1>($H$511+$H$512+$H$513+$H$514+$H$515+$H$516+$H$517+$H$518+$H$519+$H$520+$H$521+$H$522+$H$523+$H$524+$H$525+$H$526+$H$527+$H$528+$H$529+$H$530+$H$531+$H$532+$H$533+$H$534+$H$535)&lt;=$H$493</formula1>
    </dataValidation>
    <dataValidation type="list" allowBlank="1" showInputMessage="1" showErrorMessage="1" promptTitle="Buku Rencana Kerja Pembangunan" prompt="Diisi_x000a_Tidak Diisi" sqref="H2177" xr:uid="{00000000-0002-0000-0100-0000D4050000}">
      <formula1>IF($H$2175="Belum",Tidak_Diisi,Diisi)</formula1>
    </dataValidation>
    <dataValidation type="list" allowBlank="1" showInputMessage="1" showErrorMessage="1" promptTitle="Desa Peduli Pendidikan" prompt="Ya_x000a_Tidak" sqref="H107" xr:uid="{00000000-0002-0000-0100-0000D5050000}">
      <formula1>"Ya, Tidak"</formula1>
    </dataValidation>
    <dataValidation allowBlank="1" showInputMessage="1" showErrorMessage="1" promptTitle="Tersedia Layanan Perbankan" prompt="1: Tidak ada_x000a_5: Ada_x000a_(IDM E 533.a)" sqref="H2067" xr:uid="{00000000-0002-0000-0100-0000D7050000}"/>
    <dataValidation type="list" allowBlank="1" showInputMessage="1" showErrorMessage="1" promptTitle="Unggulan 2 Buah Pasar Domestik" prompt="-, Buah Lainnya, Jeruk Loka, Mangga Lokal, Tomat, Semangka, Jeruk Nipis, Jeruk Lemon, Jeruk Bali, Mangga Manalagi, Mangga Alpukat, Mangga Harum Manis, Mangga Gedonggincu, Mangga Malibu, Mangga Apel, Melon, Stroberi, Rambutan, Pepaya, Jambu, Pisang, Nanas," sqref="H1284" xr:uid="{00000000-0002-0000-0100-0000D9050000}">
      <formula1>$K$1038:$K$1070</formula1>
    </dataValidation>
    <dataValidation type="list" allowBlank="1" showInputMessage="1" showErrorMessage="1" promptTitle="Terdapat Kejahatan Pencurian" prompt="Keterangan:_x000a_0 : Tidak Ada_x000a_1 : Ada" sqref="H829" xr:uid="{00000000-0002-0000-0100-0000DA050000}">
      <formula1>"0,1"</formula1>
    </dataValidation>
    <dataValidation type="list" allowBlank="1" showInputMessage="1" showErrorMessage="1" promptTitle="Layanan Dokter berasal dari?" prompt="1:  Yayasan/ Swasta/ Masyarakat_x000a_5:  Pemerintah" sqref="H1834" xr:uid="{00000000-0002-0000-0100-0000DB050000}">
      <formula1>"1,5"</formula1>
    </dataValidation>
    <dataValidation type="decimal" allowBlank="1" showInputMessage="1" showErrorMessage="1" promptTitle="Luas Lahan Tanaman Melinjo" prompt="(Dalam Satuan Luas Ha)_x000a_1 Km2 = 100 Ha" sqref="H989" xr:uid="{00000000-0002-0000-0100-0000DC050000}">
      <formula1>0</formula1>
      <formula2>IF(H988="tidak ada",0,25000)</formula2>
    </dataValidation>
    <dataValidation type="custom" operator="greaterThanOrEqual" allowBlank="1" showInputMessage="1" showErrorMessage="1" promptTitle="Jlh KK yg Miliki Rumah Permanen" prompt="Input Dengan Angka" sqref="H877" xr:uid="{00000000-0002-0000-0100-0000DD050000}">
      <formula1>(($H$877+$H$879+$H$881)&lt;=$H$875)</formula1>
    </dataValidation>
    <dataValidation type="list" showInputMessage="1" showErrorMessage="1" promptTitle="Kekuatan Sinyal Telepon Seluler" prompt="Sinyal telepon seluler / handphone di Desa_x000a_1: Sinyak Kuat_x000a_2: Sinyal Lemah_x000a_0: Tidak Ada Sinyal" sqref="H931" xr:uid="{00000000-0002-0000-0100-0000DE050000}">
      <formula1>"1,2,0"</formula1>
    </dataValidation>
    <dataValidation type="whole" operator="lessThanOrEqual" allowBlank="1" showInputMessage="1" showErrorMessage="1" error="Tidak Terdapat Perkebunan Teh._x000a_Diisi 0 (NOL)_x000a_Tidak Melebihi Jumlah Penduduk di Desa" promptTitle="Jlh Petani Perkebunan Teh" prompt=" _x000a_" sqref="H440" xr:uid="{00000000-0002-0000-0100-0000DF050000}">
      <formula1>IF(H434="Tidak ada",0,$H$493)</formula1>
    </dataValidation>
    <dataValidation type="list" showInputMessage="1" showErrorMessage="1" promptTitle="Adanya Warga Beragama Islam" prompt="Keterangan:_x000a_0 : Tidak Ada_x000a_1 : Ada" sqref="H778" xr:uid="{00000000-0002-0000-0100-0000E0050000}">
      <formula1>"0,1"</formula1>
    </dataValidation>
    <dataValidation type="whole" operator="greaterThanOrEqual" allowBlank="1" showInputMessage="1" showErrorMessage="1" promptTitle="Total Ketua RT" prompt="Ketua RT Perempuan_x000a_(Terisi dari Unggah Template Staf Petugas Desa dan Lembaga Kemasayarakatan Desa)" sqref="H90" xr:uid="{00000000-0002-0000-0100-0000E1050000}">
      <formula1>0</formula1>
    </dataValidation>
    <dataValidation type="decimal" operator="lessThanOrEqual" allowBlank="1" showInputMessage="1" showErrorMessage="1" promptTitle="Jarak SMP/MTs T'dekat" prompt=" " sqref="H680" xr:uid="{00000000-0002-0000-0100-0000E2050000}">
      <formula1>250000</formula1>
    </dataValidation>
    <dataValidation type="list" showInputMessage="1" showErrorMessage="1" promptTitle="Sumber Air untuk Mandi dan Cuci" prompt="Sumber Air Sumur_x000a_Keterangan_x000a_0 : Tidak_x000a_1 : Ya" sqref="H898" xr:uid="{00000000-0002-0000-0100-0000E3050000}">
      <formula1>"0,1"</formula1>
    </dataValidation>
    <dataValidation type="list" showInputMessage="1" showErrorMessage="1" promptTitle="Tdapat Bumdesa Keuangan" prompt="Terdapat Bumdesa Keuangan Bidang BRI Link _x000a_0: Tidak Ada_x000a_1: Ada" sqref="H1426" xr:uid="{00000000-0002-0000-0100-0000E4050000}">
      <formula1>IF($H$1422=0,Tidak_tersedia,Tersedia)</formula1>
    </dataValidation>
    <dataValidation type="whole" operator="lessThanOrEqual" allowBlank="1" showInputMessage="1" showErrorMessage="1" error="Tidak Terdapat Wisata Sejarah dan Religi,_x000a_Diisi 0 (Nol)" promptTitle="Jlh Naker DesWita Sejarah &amp;Relig" prompt="Isi dengan Angka" sqref="H218" xr:uid="{00000000-0002-0000-0100-0000E6050000}">
      <formula1>IF(H212="tidak ada",0,10000)</formula1>
    </dataValidation>
    <dataValidation allowBlank="1" showInputMessage="1" showErrorMessage="1" promptTitle="Aktivitas Wisata Pegunungan" prompt="Contoh:_x000a_Berburu, Panjat Tebing, Camping, Trecking, Hiking" sqref="H125" xr:uid="{00000000-0002-0000-0100-0000E7050000}"/>
    <dataValidation allowBlank="1" showInputMessage="1" showErrorMessage="1" prompt="IDM 258" sqref="H1720" xr:uid="{00000000-0002-0000-0100-0000E8050000}"/>
    <dataValidation type="whole" allowBlank="1" showInputMessage="1" showErrorMessage="1" promptTitle="Jlh Kejadian Konfik" prompt="Antara Kelompok Masyarakat dengan Aparat Keamanan_x000a_(Kasus)" sqref="H807" xr:uid="{00000000-0002-0000-0100-0000E9050000}">
      <formula1>0</formula1>
      <formula2>IF(H804=0,0,50)</formula2>
    </dataValidation>
    <dataValidation type="whole" allowBlank="1" showInputMessage="1" showErrorMessage="1" promptTitle="Waktu Tempuh Mitigasi Bencana" prompt="(Diisi Angka)" sqref="H2113" xr:uid="{00000000-0002-0000-0100-0000EA050000}">
      <formula1>0</formula1>
      <formula2>180</formula2>
    </dataValidation>
    <dataValidation allowBlank="1" showInputMessage="1" showErrorMessage="1" promptTitle="Terdapat Konflik Terkait Lahan" prompt="Ada_x000a_Tidak Ada_x000a_(IDM S 377.a)" sqref="H1970" xr:uid="{00000000-0002-0000-0100-0000EB050000}"/>
    <dataValidation type="list" showInputMessage="1" showErrorMessage="1" promptTitle="Tdapat Bumdesa Perantara" prompt="Terdapat Bumdesa Perantara Bidang Perbengkelan_x000a_0: Tidak Ada_x000a_1: Ada" sqref="H1433" xr:uid="{00000000-0002-0000-0100-0000EC050000}">
      <formula1>IF($H$1431=0,Tidak_tersedia,Tersedia)</formula1>
    </dataValidation>
    <dataValidation type="whole" allowBlank="1" showInputMessage="1" showErrorMessage="1" sqref="H1796" xr:uid="{00000000-0002-0000-0100-0000ED050000}">
      <formula1>0</formula1>
      <formula2>5</formula2>
    </dataValidation>
    <dataValidation type="list" allowBlank="1" showInputMessage="1" showErrorMessage="1" promptTitle="Publikasi Informasi Pelayanan" prompt="1: Belum_x000a_5: Sudah" sqref="H2211" xr:uid="{00000000-0002-0000-0100-0000EE050000}">
      <formula1>"1,5"</formula1>
    </dataValidation>
    <dataValidation type="list" allowBlank="1" showInputMessage="1" showErrorMessage="1" promptTitle="Terdapat Hutan Negara di Desa" prompt="Ada_x000a_Tidak Ada" sqref="H244" xr:uid="{00000000-0002-0000-0100-0000EF050000}">
      <formula1>"Ada, Tidak Ada"</formula1>
    </dataValidation>
    <dataValidation type="decimal" allowBlank="1" showInputMessage="1" showErrorMessage="1" error="Tidak Terdapat Produk Unggulan,_x000a_Diisi 0 (Nol)" promptTitle="Luas Lahan Tanaman " prompt="(Dalam Satuan Luas Ha)_x000a_1 Km2 = 100 Ha" sqref="H1193" xr:uid="{00000000-0002-0000-0100-0000F0050000}">
      <formula1>0</formula1>
      <formula2>IF(H1038="Tidak Ada",0,25000)</formula2>
    </dataValidation>
    <dataValidation type="list" allowBlank="1" showInputMessage="1" showErrorMessage="1" promptTitle="Operasional Tersedia Air Minum" prompt="1: &lt;4 hari _x000a_3: 4-6 hari_x000a_5: 7 hari" sqref="H1894" xr:uid="{00000000-0002-0000-0100-0000F1050000}">
      <formula1>"1,3,5"</formula1>
    </dataValidation>
    <dataValidation type="list" allowBlank="1" showInputMessage="1" showErrorMessage="1" promptTitle="Tersedia Kolam Renang" prompt="1: Tidak ada fasilitas_x000a_2: Ada, kondisi rusak parah_x000a_3: Ada, Kondisi rusak sedang_x000a_4: Ada, kondisi rusak ringan_x000a_5: Ada, kondisi baik" sqref="H1993" xr:uid="{00000000-0002-0000-0100-0000F2050000}">
      <formula1>"1,2,3,4,5"</formula1>
    </dataValidation>
    <dataValidation type="whole" operator="lessThanOrEqual" allowBlank="1" showInputMessage="1" showErrorMessage="1" errorTitle="PERHATIKAN JUMLAH PENDUDUK" error="CEK JUMLAH PENDUDUK DI DESA, Tidak dapat Melebihi Jumlah Penduduk._x000a_Tidak Terdapat Tambang Batu Bara_x000a_(Hanya diInput Angka)" promptTitle="Jlh Naker Tambang Minyak Bumi" prompt=" (Diisi Angka)" sqref="H286" xr:uid="{00000000-0002-0000-0100-0000F3050000}">
      <formula1>IF(H284="tidak ada",0,$H$493)</formula1>
    </dataValidation>
    <dataValidation allowBlank="1" showInputMessage="1" showErrorMessage="1" prompt="IDM 266.d" sqref="H1767" xr:uid="{00000000-0002-0000-0100-0000F4050000}"/>
    <dataValidation type="whole" operator="lessThanOrEqual" allowBlank="1" showInputMessage="1" showErrorMessage="1" promptTitle="Jlh Guru TK" prompt=" " sqref="H720" xr:uid="{00000000-0002-0000-0100-0000F5050000}">
      <formula1>30</formula1>
    </dataValidation>
    <dataValidation type="list" allowBlank="1" showInputMessage="1" showErrorMessage="1" promptTitle="Unggulan 1 Sayur Pasar Ekspor" prompt="-, Bawang Merah, Bawang Putih, Kubis, Bayam, Kelor, Kangkung, Kol, Selada, Mentimun/Timun/Ketimun, Buncis, Brokoli, Toge, Seledri, Kemangi, Sawi, Cabai Keriting, Cabai Rawit, Cabai Lokal, Pare, Kacang Panjang, Terong, Rebung, Lainnya" sqref="H1317" xr:uid="{00000000-0002-0000-0100-0000F6050000}">
      <formula1>$K$1136:$K$1159</formula1>
    </dataValidation>
    <dataValidation allowBlank="1" showInputMessage="1" showErrorMessage="1" promptTitle="Bumdesa Perdagangan Bid P'ternak" prompt="(SEBUTKAN)" sqref="H1420" xr:uid="{00000000-0002-0000-0100-0000F7050000}"/>
    <dataValidation type="whole" allowBlank="1" showInputMessage="1" showErrorMessage="1" promptTitle="Jarak (Meter) ke Pasar" prompt="(Diisi Angka)" sqref="H2031" xr:uid="{00000000-0002-0000-0100-0000F8050000}">
      <formula1>0</formula1>
      <formula2>20000</formula2>
    </dataValidation>
    <dataValidation type="list" allowBlank="1" showInputMessage="1" showErrorMessage="1" promptTitle="Layanan SMP/MTs/Sederajat" prompt="Pemerintah_x000a_Swasta_x000a_Masyarakat" sqref="H1761" xr:uid="{00000000-0002-0000-0100-0000F9050000}">
      <formula1>"Pemerintah, Swasta, Masyarakat"</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Perawat" prompt="Jumlah Pekerja Perawat Perempuan" sqref="H533" xr:uid="{00000000-0002-0000-0100-0000FA050000}">
      <formula1>($H$511+$H$512+$H$513+$H$514+$H$515+$H$516+$H$517+$H$518+$H$519+$H$520+$H$521+$H$522+$H$523+$H$524+$H$525+$H$526+$H$527+$H$528+$H$529+$H$530+$H$531+$H$532+$H$533+$H$534+$H$535)&lt;=$H$493</formula1>
    </dataValidation>
    <dataValidation type="list" showInputMessage="1" showErrorMessage="1" promptTitle="Jalur Evakuasi" prompt="Terdapat fasilitas mitigasi bencana alam di Desa berupa jalur evakuasi_x000a_0: Tidak Ada_x000a_1: Ada" sqref="H1501" xr:uid="{00000000-0002-0000-0100-0000FB050000}">
      <formula1>"0,1"</formula1>
    </dataValidation>
    <dataValidation type="whole" operator="lessThanOrEqual" allowBlank="1" showInputMessage="1" showErrorMessage="1" promptTitle="Jarak TK T'dekat" prompt=" " sqref="H714" xr:uid="{00000000-0002-0000-0100-0000FD050000}">
      <formula1>25000</formula1>
    </dataValidation>
    <dataValidation type="list" showInputMessage="1" showErrorMessage="1" promptTitle="Tdapat Bumdesa Perantara" prompt="Terdapat Bumdesa Perantara Bidang Photo Copy_x000a_0: Tidak Ada_x000a_1: Ada" sqref="H1436" xr:uid="{00000000-0002-0000-0100-0000FE050000}">
      <formula1>IF($H$1431=0,Tidak_tersedia,Tersedia)</formula1>
    </dataValidation>
    <dataValidation type="whole" operator="lessThanOrEqual" allowBlank="1" showInputMessage="1" showErrorMessage="1" promptTitle="Jlh KK Manfaatkn E-Hayati Cair" prompt=" " sqref="H922" xr:uid="{00000000-0002-0000-0100-0000FF050000}">
      <formula1>$H$499</formula1>
    </dataValidation>
    <dataValidation type="whole" operator="greaterThanOrEqual" allowBlank="1" showInputMessage="1" showErrorMessage="1" promptTitle="Jlh KPMD Aktif" prompt="(Terisi dari Unggah Template KPMD Posyandu)" sqref="H1505" xr:uid="{00000000-0002-0000-0100-000000060000}">
      <formula1>0</formula1>
    </dataValidation>
    <dataValidation type="list" allowBlank="1" showInputMessage="1" showErrorMessage="1" promptTitle="Pihak Pendampingan Wisata Hutan" prompt="Tidak Ada_x000a_Pemerintah_x000a_BUMN_x000a_BUMD_x000a_Swasta (CSR)_x000a_Akademisi_x000a_Lainnya" sqref="H142" xr:uid="{00000000-0002-0000-0100-000001060000}">
      <formula1>IF(H138="tidak ada",Tidak_Ada,Pendamping_wisata)</formula1>
    </dataValidation>
    <dataValidation type="list" allowBlank="1" showInputMessage="1" showErrorMessage="1" promptTitle="Operasional PJU di desa" prompt="1: Tidak Teraliri Listrik_x000a_2: &lt; 6 Jam dlm 1 hari_x000a_4: 6-12 Jam dlm 1 hari_x000a_5: &gt; 12 Jam dlm 1 hari" sqref="H2131" xr:uid="{00000000-0002-0000-0100-000002060000}">
      <formula1>"1,2,4,5"</formula1>
    </dataValidation>
    <dataValidation allowBlank="1" showInputMessage="1" showErrorMessage="1" promptTitle="Kondisi Fasilitas Lapangan OR " prompt="1. Rata-rata tidak terdapat fasilitas_x000a_2. Rata-rata kondisi fasilitas rusak parah_x000a_3. Rata-rata kondisi fasilitas rusak sedang_x000a_4. Rata-rata kondisi fasilitas rusak ringan_x000a_5. Rata-rata kondisi fasilitas baik" sqref="H1986" xr:uid="{00000000-0002-0000-0100-000003060000}"/>
    <dataValidation type="list" allowBlank="1" showInputMessage="1" showErrorMessage="1" promptTitle="Tersedia Lapangan Basket" prompt="1: Tidak ada fasilitas_x000a_2: Ada, kondisi rusak parah_x000a_3: Ada, Kondisi rusak sedang_x000a_4: Ada, kondisi rusak ringan_x000a_5: Ada, kondisi baik" sqref="H1990" xr:uid="{00000000-0002-0000-0100-000006060000}">
      <formula1>"1,2,3,4,5"</formula1>
    </dataValidation>
    <dataValidation type="list" showInputMessage="1" showErrorMessage="1" promptTitle="Kebun Gizi" prompt="Ketersediaan kebun gizi di Desa_x000a_0: Tidak Ada_x000a_1: Ada" sqref="H1507" xr:uid="{00000000-0002-0000-0100-000007060000}">
      <formula1>"0,1"</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Buruh" prompt="Jumlah Pekerja Buruh Tani/ Nelayan Laki-Laki" sqref="H515" xr:uid="{00000000-0002-0000-0100-000008060000}">
      <formula1>($H$511+$H$512+$H$513+$H$514+$H$515+$H$516+$H$517+$H$518+$H$519+$H$520+$H$521+$H$522+$H$523+$H$524+$H$525+$H$526+$H$527+$H$528+$H$529+$H$530+$H$531+$H$532+$H$533+$H$534+$H$535)&lt;=$H$493</formula1>
    </dataValidation>
    <dataValidation allowBlank="1" showInputMessage="1" showErrorMessage="1" promptTitle="FalKes Pustu/Poskesdes/Polindes" prompt="1: Tidak Ada Pustu/Poskesdes/ Polindes_x000a_5: Terdapat Pustu/Poskesdes/ Polindes" sqref="H1811" xr:uid="{00000000-0002-0000-0100-000009060000}"/>
    <dataValidation type="list" allowBlank="1" showInputMessage="1" showErrorMessage="1" promptTitle="Terdapat Tanah Kas Desa/ Ulayat" prompt="0: Tidak Ada_x000a_1: Ada" sqref="H1611" xr:uid="{00000000-0002-0000-0100-00000A060000}">
      <formula1>"0,1"</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PNS" prompt="Jumlah Pekerja PNS Perempuan" sqref="H520" xr:uid="{00000000-0002-0000-0100-00000B060000}">
      <formula1>($H$511+$H$512+$H$513+$H$514+$H$515+$H$516+$H$517+$H$518+$H$519+$H$520+$H$521+$H$522+$H$523+$H$524+$H$525+$H$526+$H$527+$H$528+$H$529+$H$530+$H$531+$H$532+$H$533+$H$534+$H$535)&lt;=$H$493</formula1>
    </dataValidation>
    <dataValidation allowBlank="1" showInputMessage="1" showErrorMessage="1" promptTitle="Kejadian Bencana" prompt="Ada_x000a_Tidak Ada_x000a_(IDM L 508.b)" sqref="H2102" xr:uid="{00000000-0002-0000-0100-00000C060000}"/>
    <dataValidation type="list" showInputMessage="1" showErrorMessage="1" promptTitle="Tdapat Bumdesa Pariwisata" prompt="Terdapat Bumdesa Parawisita Bidang Wisata Desa_x000a_0: Tidak Ada_x000a_1: Ada" sqref="H1443" xr:uid="{00000000-0002-0000-0100-00000D060000}">
      <formula1>IF($H$1442=0,Tidak_tersedia,Tersedia)</formula1>
    </dataValidation>
    <dataValidation type="list" showInputMessage="1" showErrorMessage="1" promptTitle="Adanya Warga Beragama Katolik" prompt="Keterangan:_x000a_0 : Tidak Ada_x000a_1 : Ada" sqref="H780" xr:uid="{00000000-0002-0000-0100-00000E060000}">
      <formula1>"0,1"</formula1>
    </dataValidation>
    <dataValidation type="list" allowBlank="1" showInputMessage="1" showErrorMessage="1" promptTitle="Jabatan Informan" prompt="Kepala Desa, _x000a_Plt Kades_x000a_Sekreatris Desa, _x000a_KAUR Umum, _x000a_KAUR Keuangan, _x000a_KAUR Perencanaan, _x000a_KASI Pemerintahan, _x000a_KASI Kesejahteraan, _x000a_KASI Pelayanan, _x000a_Lainnya (Sebutkan)" sqref="H14" xr:uid="{00000000-0002-0000-0100-00000F060000}">
      <formula1>"Kepala Desa, Plt Kades, Sekreatris Desa, KAUR Umum, KAUR Keuangan, KAUR Perencanaan, KASI Pemerintahan, KASI Kesejahteraan, KASI Pelayanan, Lainnya"</formula1>
    </dataValidation>
    <dataValidation allowBlank="1" showInputMessage="1" showErrorMessage="1" promptTitle="Dampak di Bidang Lainnya" prompt=" " sqref="H396" xr:uid="{00000000-0002-0000-0100-000010060000}"/>
    <dataValidation type="decimal" operator="lessThanOrEqual" allowBlank="1" showInputMessage="1" showErrorMessage="1" error="Tidak Tedapat Tambang Perak_x000a_Diisi 0 (NOL)" promptTitle="Luas Tambang Perak" prompt="(Dalam Satuan Luas Ha)_x000a_1 Km2 = 100 Ha" sqref="H329" xr:uid="{00000000-0002-0000-0100-000011060000}">
      <formula1>IF(H328="Tidak Ada",0,25000)</formula1>
    </dataValidation>
    <dataValidation type="list" showInputMessage="1" showErrorMessage="1" promptTitle="Penampungan Sampah Sementara" prompt="Keterangan:_x000a_0 : Tidak Ada_x000a_1 : Ada" sqref="H911" xr:uid="{00000000-0002-0000-0100-000012060000}">
      <formula1>"0,1"</formula1>
    </dataValidation>
    <dataValidation allowBlank="1" showInputMessage="1" showErrorMessage="1" promptTitle="Kejadian Bencana" prompt="Ada_x000a_Tidak Ada_x000a_(IDM L 508.h)" sqref="H2108" xr:uid="{00000000-0002-0000-0100-000013060000}"/>
    <dataValidation type="list" operator="lessThanOrEqual" allowBlank="1" showInputMessage="1" showErrorMessage="1" promptTitle="Tujuan Pasar Hasil Panen " prompt="Domestik (Dalam Negeri)_x000a_Ekspor (Luar Negeri)_x000a__x000a_" sqref="H405" xr:uid="{00000000-0002-0000-0100-000014060000}">
      <formula1>IF(H398="Tidak ada",Tidak_Ada,Pasar)</formula1>
    </dataValidation>
    <dataValidation type="list" allowBlank="1" showInputMessage="1" showErrorMessage="1" promptTitle="Terdapat Produk Unggulan Melinjo" prompt="Ada_x000a_Tidak Ada" sqref="H988" xr:uid="{00000000-0002-0000-0100-000015060000}">
      <formula1>"Ada, Tidak Ada"</formula1>
    </dataValidation>
    <dataValidation type="list" allowBlank="1" showInputMessage="1" showErrorMessage="1" promptTitle="Tranportasi Online Roda 2/4" prompt="Ada_x000a_Tidak Ada" sqref="H2144" xr:uid="{00000000-0002-0000-0100-000016060000}">
      <formula1>"Ada, Tidak Ada"</formula1>
    </dataValidation>
    <dataValidation type="decimal" operator="lessThanOrEqual" allowBlank="1" showInputMessage="1" showErrorMessage="1" promptTitle="Luas Hutan Negara kelola Taman N" prompt="(Dalam Satuan Luas Ha)_x000a_1 Km2 = 100 Ha" sqref="H258" xr:uid="{00000000-0002-0000-0100-000017060000}">
      <formula1>25000</formula1>
    </dataValidation>
    <dataValidation type="list" allowBlank="1" showInputMessage="1" showErrorMessage="1" promptTitle="Desa Peduli Keluarga" prompt="Ya_x000a_Tidak" sqref="H104" xr:uid="{00000000-0002-0000-0100-000018060000}">
      <formula1>"Ya, Tidak"</formula1>
    </dataValidation>
    <dataValidation type="whole" operator="lessThanOrEqual" allowBlank="1" showInputMessage="1" showErrorMessage="1" errorTitle="PERHATIKAN JUMLAH PENDUDUK" error="CEK JUMLAH PENDUDUK DI DESA, Tidak dapat Melebihi Jumlah Penduduk. Tidak Terdapat Tambang Tanah Liat_x000a_(Hanya diInput Angka)" promptTitle="Jlh Naker Lokal Tambang T.Liat" prompt=" (Diisi Angka)" sqref="H351" xr:uid="{00000000-0002-0000-0100-000019060000}">
      <formula1>IF(H348="tidak ada",0,$H$493)</formula1>
    </dataValidation>
    <dataValidation type="decimal" allowBlank="1" showInputMessage="1" showErrorMessage="1" error="Tidak Terdapat Produk Unggulan,_x000a_Diisi 0 (Nol)" promptTitle="Luas Lahan Tanaman " prompt="(Dalam Satuan Luas Ha)_x000a_1 Km2 = 100 Ha" sqref="H1077" xr:uid="{00000000-0002-0000-0100-00001A060000}">
      <formula1>0</formula1>
      <formula2>IF(H1050="Tidak Ada",0,25000)</formula2>
    </dataValidation>
    <dataValidation type="decimal" operator="lessThanOrEqual" allowBlank="1" showInputMessage="1" showErrorMessage="1" error="Tidak Tedapat Tambang Bauksit_x000a_Diisi 0 (NOL)" promptTitle="Luas Tambang Bauksit" prompt="(Dalam Satuan Luas Ha)_x000a_1 Km2 = 100 Ha" sqref="H305" xr:uid="{00000000-0002-0000-0100-00001B060000}">
      <formula1>IF(H304="Tidak Ada",0,25000)</formula1>
    </dataValidation>
    <dataValidation type="whole" operator="lessThanOrEqual" allowBlank="1" showInputMessage="1" showErrorMessage="1" error="Tidak Terdapat Wisata Embung Diisi 0 (Nol)" promptTitle="Jlh Naker Desa Wisata Embung" prompt="Isi dengan Angka" sqref="H181" xr:uid="{00000000-0002-0000-0100-00001C060000}">
      <formula1>IF(H175="tidak ada",0,10000)</formula1>
    </dataValidation>
    <dataValidation type="list" allowBlank="1" showInputMessage="1" showErrorMessage="1" promptTitle="Petugas dr Unsur Perangkat Desa" prompt="Berdasarkan Permendagri No 84 Tahun 2015 tentang SOTK:_x000a__x000a_Sekretaris_x000a_Kepala Urusan_x000a_Kepala Seksi_x000a_Kepala Dusun/ Kepala Pelaksana Kewilayahan_x000a_" sqref="H11" xr:uid="{00000000-0002-0000-0100-00001D060000}">
      <formula1>IF(OR($H$10="Pendamping Desa",$H$10="Pendamping Lokal Desa"),Pendamping,IF($H$10="Perangkat Desa",Jabatan_petugas))</formula1>
    </dataValidation>
    <dataValidation type="decimal" allowBlank="1" showInputMessage="1" showErrorMessage="1" promptTitle="Total Produksi Panen dalam 1 Thn" prompt="Sebutkan (Ton Per Tahun)" sqref="H1203" xr:uid="{00000000-0002-0000-0100-00001E060000}">
      <formula1>0</formula1>
      <formula2>IF(H1038="Tidak ada",0,25000)</formula2>
    </dataValidation>
    <dataValidation allowBlank="1" showInputMessage="1" showErrorMessage="1" promptTitle="Bidang Kerjasama Bumdes Pihak 3" prompt="Lainnya Sebutkan " sqref="H1574" xr:uid="{00000000-0002-0000-0100-00001F060000}"/>
    <dataValidation type="decimal" allowBlank="1" showInputMessage="1" showErrorMessage="1" promptTitle="Total Produksi Panen dalam 1 Thn" prompt="Sebutkan (Ton Per Tahun)" sqref="H1040" xr:uid="{00000000-0002-0000-0100-000020060000}">
      <formula1>0</formula1>
      <formula2>IF(H1038="Tidak ada",0,25000)</formula2>
    </dataValidation>
    <dataValidation type="decimal" allowBlank="1" showInputMessage="1" showErrorMessage="1" promptTitle="Total Produksi Panen dalam 1 Thn" prompt="Sebutkan (Ton Per Tahun)" sqref="H1053" xr:uid="{00000000-0002-0000-0100-000021060000}">
      <formula1>0</formula1>
      <formula2>IF(H1050="Tidak ada",0,25000)</formula2>
    </dataValidation>
    <dataValidation type="whole" allowBlank="1" showInputMessage="1" showErrorMessage="1" prompt="IDM S 347.d" sqref="H1763" xr:uid="{00000000-0002-0000-0100-000022060000}">
      <formula1>0</formula1>
      <formula2>120</formula2>
    </dataValidation>
    <dataValidation type="list" allowBlank="1" showInputMessage="1" showErrorMessage="1" promptTitle="Dampingan Wisata Sejarah &amp;Religi" prompt="Tidak Ada_x000a_Pemerintah_x000a_BUMN_x000a_BUMD_x000a_Swasta (CSR)_x000a_Akademisi_x000a_Lainnya" sqref="H216" xr:uid="{00000000-0002-0000-0100-000023060000}">
      <formula1>IF(H212="tidak ada",Tidak_Ada,Pendamping_wisata)</formula1>
    </dataValidation>
    <dataValidation type="decimal" allowBlank="1" showInputMessage="1" showErrorMessage="1" error="Tidak Terdapat Produk Unggulan,_x000a_Diisi 0 (Nol)" promptTitle="Luas Lahan Tanaman " prompt="(Dalam Satuan Luas Ha)_x000a_1 Km2 = 100 Ha" sqref="H1199" xr:uid="{00000000-0002-0000-0100-000024060000}">
      <formula1>0</formula1>
      <formula2>IF(H1038="Tidak Ada",0,25000)</formula2>
    </dataValidation>
    <dataValidation type="whole" operator="greaterThanOrEqual" allowBlank="1" showInputMessage="1" showErrorMessage="1" promptTitle="Total Kepala Dusun" prompt="Kepala Dusun Perempuan_x000a_(Terisi dari Unggah Template Staf Petugas Desa dan Lembaga Kemasayarakatan Desa)" sqref="H86" xr:uid="{00000000-0002-0000-0100-000025060000}">
      <formula1>0</formula1>
    </dataValidation>
    <dataValidation type="whole" allowBlank="1" showInputMessage="1" showErrorMessage="1" error="Tidak Terdapat Kelompok/ Organisasi/ Lembaga Lainnya._x000a_Max 24 kali/tahun" promptTitle="Jlh Frek Lembaga Lainnya" prompt="(Kali/Thn)" sqref="H758" xr:uid="{00000000-0002-0000-0100-000026060000}">
      <formula1>0</formula1>
      <formula2>IF(H756=0,0,24)</formula2>
    </dataValidation>
    <dataValidation type="decimal" operator="lessThanOrEqual" allowBlank="1" showInputMessage="1" showErrorMessage="1" promptTitle="Luas Hutan dikelola Inhutani" prompt="(Dalam Satuan Luas Ha)_x000a_1 Km2 = 100 Ha" sqref="H249" xr:uid="{00000000-0002-0000-0100-000027060000}">
      <formula1>25000</formula1>
    </dataValidation>
    <dataValidation type="decimal" operator="lessThanOrEqual" allowBlank="1" showInputMessage="1" showErrorMessage="1" error="Tidak terdapat Perkebunan Tebu._x000a_Diisi 0 (NOL)" promptTitle="Total Produksi dalam 1 Tahun" prompt="Sebutkan (Satuan Ton)_x000a_" sqref="H456" xr:uid="{00000000-0002-0000-0100-000028060000}">
      <formula1>IF(H452="Tidak ada",0,10000)</formula1>
    </dataValidation>
    <dataValidation type="list" allowBlank="1" showInputMessage="1" showErrorMessage="1" promptTitle="Jenis Kelamin Kaur TU &amp; Umum" prompt="Laki- Laki_x000a_Perempuan" sqref="H68" xr:uid="{00000000-0002-0000-0100-000029060000}">
      <formula1>"Laki-Laki, Perempuan"</formula1>
    </dataValidation>
    <dataValidation allowBlank="1" showInputMessage="1" showErrorMessage="1" promptTitle="Peran Tokoh Lainnya" prompt="Mediator Lainnya, Sebutkan" sqref="H826" xr:uid="{00000000-0002-0000-0100-00002A060000}"/>
    <dataValidation allowBlank="1" showInputMessage="1" showErrorMessage="1" promptTitle="Akses ke Fasilitasi Bencana" prompt="1: Sangat sulit_x000a_2: Sulit_x000a_3: Sedang_x000a_4: Mudah_x000a_5: Sangat Mudah" sqref="H2116" xr:uid="{00000000-0002-0000-0100-00002B060000}"/>
    <dataValidation type="list" allowBlank="1" showInputMessage="1" showErrorMessage="1" promptTitle="Dukungan Beasiswa Kurang Mampu" prompt="Ada_x000a_Tidak Ada" sqref="H1785" xr:uid="{00000000-0002-0000-0100-00002C060000}">
      <formula1>"Ada, Tidak Ada"</formula1>
    </dataValidation>
    <dataValidation type="list" allowBlank="1" showInputMessage="1" showErrorMessage="1" promptTitle="Desa Anti Korupsi" prompt="Ya_x000a_Tidak" sqref="H110" xr:uid="{00000000-0002-0000-0100-00002F060000}">
      <formula1>"Ya, Tidak"</formula1>
    </dataValidation>
    <dataValidation type="whole" allowBlank="1" showInputMessage="1" showErrorMessage="1" error="Tidak Tersedia Layanan Nakes Lainnya" promptTitle="Jumlah Tenaga Nakes Lainnya" prompt="Input Menggunakan Angka" sqref="H593" xr:uid="{00000000-0002-0000-0100-000030060000}">
      <formula1>0</formula1>
      <formula2>IF(H592=0,0,50)</formula2>
    </dataValidation>
    <dataValidation type="list" allowBlank="1" showInputMessage="1" showErrorMessage="1" promptTitle="Status kelola Tambang Tanah Liat" prompt="Tidak Ada_x000a_Pemerintah_x000a_BUMN_x000a_BUMD_x000a_Swasta_x000a_Perorangan_x000a_Lainnya" sqref="H352" xr:uid="{00000000-0002-0000-0100-000031060000}">
      <formula1>IF($H348="tidak ada",Tidak_Ada,Tambang)</formula1>
    </dataValidation>
    <dataValidation allowBlank="1" showInputMessage="1" showErrorMessage="1" promptTitle="Pihak Kelola Perkebunan Kakao" prompt="Sebutkan_x000a_" sqref="H419" xr:uid="{00000000-0002-0000-0100-000032060000}"/>
    <dataValidation type="list" allowBlank="1" showInputMessage="1" showErrorMessage="1" promptTitle="Status Kelola Perkebunan Tebu " prompt="Tidak Ada_x000a_Pemerintah_x000a_BUMN_x000a_BUMD_x000a_Swasta_x000a_Perorangan" sqref="H454" xr:uid="{00000000-0002-0000-0100-000033060000}">
      <formula1>IF(H452="Tidak ada",Tidak_Ada,kebun)</formula1>
    </dataValidation>
    <dataValidation operator="greaterThanOrEqual" allowBlank="1" showInputMessage="1" showErrorMessage="1" promptTitle="Bahan Bakar Masak Lainnya" prompt="(Sebutkan)" sqref="H1365" xr:uid="{00000000-0002-0000-0100-000034060000}"/>
    <dataValidation type="whole" operator="lessThanOrEqual" allowBlank="1" showInputMessage="1" showErrorMessage="1" error="Tidak Melebihi Jumlah Penduduk di Desa" promptTitle="Jlh Petani Pkebunan Coklat/Kakao" prompt=" _x000a_" sqref="H422" xr:uid="{00000000-0002-0000-0100-000035060000}">
      <formula1>IF(H416="Tidak ada",0,$H$493)</formula1>
    </dataValidation>
    <dataValidation type="whole" operator="greaterThanOrEqual" allowBlank="1" showInputMessage="1" showErrorMessage="1" promptTitle="Total Ketua RT" prompt="Ketua RT Laki-Laki_x000a_(Terisi dari Unggah Template Staf Petugas Desa dan Lembaga Kemasayarakatan Desa)" sqref="H89" xr:uid="{00000000-0002-0000-0100-000036060000}">
      <formula1>0</formula1>
    </dataValidation>
    <dataValidation type="decimal" operator="lessThanOrEqual" allowBlank="1" showInputMessage="1" showErrorMessage="1" promptTitle="Total Produksi Panen dalam 1 Thn" prompt="Sebutkan (Ton Per Tahun)" sqref="H971" xr:uid="{00000000-0002-0000-0100-000037060000}">
      <formula1>IF(H960="tidak ada",0,25000)</formula1>
    </dataValidation>
    <dataValidation type="whole" operator="greaterThanOrEqual" allowBlank="1" showInputMessage="1" showErrorMessage="1" promptTitle="Total Ketua RW" prompt="Ketua RW Laki-Laki_x000a_(Terisi dari Unggah Template Staf Petugas Desa dan Lembaga Kemasayarakatan Desa)" sqref="H87" xr:uid="{00000000-0002-0000-0100-000038060000}">
      <formula1>0</formula1>
    </dataValidation>
    <dataValidation type="whole" operator="lessThanOrEqual" allowBlank="1" showInputMessage="1" showErrorMessage="1" promptTitle="Waktu Tempuh SMP/MTs T'dekat" prompt=" " sqref="H681" xr:uid="{00000000-0002-0000-0100-000039060000}">
      <formula1>3600</formula1>
    </dataValidation>
    <dataValidation type="decimal" allowBlank="1" showInputMessage="1" showErrorMessage="1" promptTitle="Luas Lahan Tanaman Kedelai" prompt="(Dalam Satuan Luas Ha)_x000a_1 Km2 = 100 Ha" sqref="H969" xr:uid="{00000000-0002-0000-0100-00003A060000}">
      <formula1>0</formula1>
      <formula2>IF(H968="tidak ada",0,25000)</formula2>
    </dataValidation>
    <dataValidation type="whole" operator="lessThanOrEqual" allowBlank="1" showInputMessage="1" showErrorMessage="1" promptTitle="Jlh Pasar Toko/Warung Kelontong" prompt="(Unit)" sqref="H1357" xr:uid="{00000000-0002-0000-0100-00003C060000}">
      <formula1>300</formula1>
    </dataValidation>
    <dataValidation type="list" allowBlank="1" showInputMessage="1" showErrorMessage="1" promptTitle="Pihak Pendampingan Wisata Pantai" prompt="Tidak Ada_x000a_Pemerintah_x000a_BUMN_x000a_BUMD_x000a_Swasta (CSR)_x000a_Akademisi_x000a_Lainnya" sqref="H121" xr:uid="{00000000-0002-0000-0100-00003D060000}">
      <formula1>IF(H117="tidak ada",Tidak_Ada,Pendamping_wisata)</formula1>
    </dataValidation>
    <dataValidation type="list" allowBlank="1" showInputMessage="1" showErrorMessage="1" promptTitle="Keberfungsian Septic Tank" prompt="1: Septic Tank Tidak Berfungsi_x000a_5: Septic Tank Berfungsi" sqref="H1885" xr:uid="{00000000-0002-0000-0100-00003E060000}">
      <formula1>IF($H$1884=1,Septi_tank1,Septic_tank5)</formula1>
    </dataValidation>
    <dataValidation type="decimal" operator="lessThanOrEqual" allowBlank="1" showInputMessage="1" showErrorMessage="1" error="Tidak Tedapat Tambang Tembaga_x000a_Diisi 0 (NOL)" promptTitle="Luas Tambang Tembaga" prompt="(Dalam Satuan Luas Ha)_x000a_1 Km2 = 100 Ha" sqref="H311" xr:uid="{00000000-0002-0000-0100-00003F060000}">
      <formula1>IF(H310="Tidak Ada",0,25000)</formula1>
    </dataValidation>
    <dataValidation type="list" allowBlank="1" showInputMessage="1" showErrorMessage="1" promptTitle="Terdapat Kejahatan Pemerkosaan" prompt="Keterangan:_x000a_0 : Tidak Ada_x000a_1 : Ada" sqref="H833" xr:uid="{00000000-0002-0000-0100-000040060000}">
      <formula1>"0,1"</formula1>
    </dataValidation>
    <dataValidation type="list" operator="lessThanOrEqual" allowBlank="1" showInputMessage="1" showErrorMessage="1" promptTitle="Tujuan Pasar Hasil Panen " prompt="Domestik (Dalam Negeri)_x000a_Ekspor (Luar Negeri)_x000a__x000a_" sqref="H450" xr:uid="{00000000-0002-0000-0100-000041060000}">
      <formula1>IF(H398="Tidak ada",Tidak_Ada,Pasar)</formula1>
    </dataValidation>
    <dataValidation type="decimal" operator="lessThanOrEqual" allowBlank="1" showInputMessage="1" showErrorMessage="1" promptTitle="Jarak Rumah Sakit Terdekat" prompt="(Meter)" sqref="H547" xr:uid="{00000000-0002-0000-0100-000042060000}">
      <formula1>300000</formula1>
    </dataValidation>
    <dataValidation type="whole" operator="lessThanOrEqual" allowBlank="1" showInputMessage="1" showErrorMessage="1" promptTitle="Jlh Tunalaras" prompt=" " sqref="H849:H850" xr:uid="{00000000-0002-0000-0100-000044060000}">
      <formula1>50</formula1>
    </dataValidation>
    <dataValidation type="list" allowBlank="1" showInputMessage="1" showErrorMessage="1" promptTitle="Tersedia Lapangan Sepak Bola" prompt="1: Tidak ada fasilitas_x000a_2: Ada, kondisi rusak parah_x000a_3: Ada, Kondisi rusak sedang_x000a_4: Ada, kondisi rusak ringan_x000a_5: Ada, kondisi baik" sqref="H1987" xr:uid="{00000000-0002-0000-0100-000045060000}">
      <formula1>"1,2,3,4,5"</formula1>
    </dataValidation>
    <dataValidation type="decimal" allowBlank="1" showInputMessage="1" showErrorMessage="1" promptTitle="Total Produksi Panen dalam 1 Thn" prompt="Sebutkan (Ton Per Tahun)" sqref="H1178" xr:uid="{00000000-0002-0000-0100-000046060000}">
      <formula1>0</formula1>
      <formula2>IF(H1038="Tidak ada",0,25000)</formula2>
    </dataValidation>
    <dataValidation type="list" allowBlank="1" showInputMessage="1" showErrorMessage="1" promptTitle="Terdapat Keg OR Renang" prompt="1. Tidak terdapat Kegiatan_x000a_2. Terdapat 1 Kali Kegiatan_x000a_3. Terdapat 2-3 Kali Kegiatan_x000a_4. Terdapat 4-5 Kali Kegiatan_x000a_5. Terdapat &gt;5 Kali Kegiatan" sqref="H1950" xr:uid="{00000000-0002-0000-0100-000047060000}">
      <formula1>"1,2,3,4,5"</formula1>
    </dataValidation>
    <dataValidation type="list" allowBlank="1" showInputMessage="1" showErrorMessage="1" promptTitle="Terdapat Produk Unggulan Merica" prompt="Ada_x000a_Tidak Ada" sqref="H1004" xr:uid="{00000000-0002-0000-0100-000048060000}">
      <formula1>"Ada, Tidak Ada"</formula1>
    </dataValidation>
    <dataValidation type="list" showInputMessage="1" showErrorMessage="1" promptTitle="KUR" prompt="Terdapat fasilitas kredit berupa Kredit Usaha Rakyat_x000a_0: Tidak Ada_x000a_1: Ada" sqref="H1390" xr:uid="{00000000-0002-0000-0100-00004C060000}">
      <formula1>"0,1"</formula1>
    </dataValidation>
    <dataValidation type="decimal" allowBlank="1" showInputMessage="1" showErrorMessage="1" error="Tidak Terdapat Produk Unggulan,_x000a_Diisi 0 (Nol)" promptTitle="Luas Lahan Tanaman " prompt="(Dalam Satuan Luas Ha)_x000a_1 Km2 = 100 Ha" sqref="H1168" xr:uid="{00000000-0002-0000-0100-00004D060000}">
      <formula1>0</formula1>
      <formula2>IF(H1038="Tidak Ada",0,25000)</formula2>
    </dataValidation>
    <dataValidation allowBlank="1" showInputMessage="1" showErrorMessage="1" promptTitle="Nama Lengkap Kasi Kesejahteraan" prompt=" " sqref="H57" xr:uid="{00000000-0002-0000-0100-00004E060000}"/>
    <dataValidation type="whole" operator="lessThanOrEqual" allowBlank="1" showInputMessage="1" showErrorMessage="1" promptTitle="Jarak Pos PAUD T'dekat" prompt=" " sqref="H710" xr:uid="{00000000-0002-0000-0100-00004F060000}">
      <formula1>20000</formula1>
    </dataValidation>
    <dataValidation type="whole" operator="greaterThanOrEqual" allowBlank="1" showInputMessage="1" showErrorMessage="1" promptTitle="Jumlah Staf Petugas Desa " prompt="Staf Petugas Desa Perempuan_x000a_(Terisi dari Unggah Template Staf Petugas Desa dan Lembaga Kemasayarakatan Desa)" sqref="H78" xr:uid="{00000000-0002-0000-0100-000050060000}">
      <formula1>0</formula1>
    </dataValidation>
    <dataValidation allowBlank="1" showInputMessage="1" showErrorMessage="1" promptTitle="Jlh Institusi Pendampingan" prompt="0: Tidak Ada _x000a_1: Satu_x000a_2: Dua_x000a_3: Lebih Dari Dua" sqref="H1517" xr:uid="{00000000-0002-0000-0100-000051060000}"/>
    <dataValidation type="whole" allowBlank="1" showInputMessage="1" showErrorMessage="1" promptTitle="Jumlah SMP didesa" prompt="IDM S 347.a" sqref="H1759" xr:uid="{00000000-0002-0000-0100-000052060000}">
      <formula1>0</formula1>
      <formula2>5</formula2>
    </dataValidation>
    <dataValidation type="decimal" operator="greaterThanOrEqual" allowBlank="1" showInputMessage="1" showErrorMessage="1" promptTitle="Jarak Ktr Desa ke Ktr Camat" prompt="Jarak Diukur dari Kantor Desa ke Kantor Camat_x000a_(Meter)" sqref="H1697" xr:uid="{00000000-0002-0000-0100-000053060000}">
      <formula1>0</formula1>
    </dataValidation>
    <dataValidation type="list" allowBlank="1" showInputMessage="1" showErrorMessage="1" promptTitle="Catat Adminsitrasi Keuangan desa" prompt="Sudah_x000a_Belum" sqref="H2167" xr:uid="{00000000-0002-0000-0100-000054060000}">
      <formula1>"Sudah, Belum"</formula1>
    </dataValidation>
    <dataValidation type="list" allowBlank="1" showInputMessage="1" showErrorMessage="1" promptTitle="Terdapat Kasi Pelayanan" prompt="Ada_x000a_Tidak Ada" sqref="H60" xr:uid="{00000000-0002-0000-0100-000055060000}">
      <formula1>"Ada, Tidak Ada"</formula1>
    </dataValidation>
    <dataValidation type="list" allowBlank="1" showInputMessage="1" showErrorMessage="1" promptTitle="Dampak Pencemaran" prompt="Dampak Pencemaran Lingkungan yang dirasakan_x000a_0: Tidak Mempengaruhi Kesehatan_x000a_1: Menyebabkan Gangguan Kesehatan Ringan_x000a_2: Menimbulkan Penyakit/ Infeksi_x000a_3: Menimbulkan Kematian" sqref="H1482" xr:uid="{00000000-0002-0000-0100-000056060000}">
      <formula1>"0,1,2,3"</formula1>
    </dataValidation>
    <dataValidation type="list" allowBlank="1" showInputMessage="1" showErrorMessage="1" promptTitle="Inventarisasi Aset Desa" prompt="1: Belum_x000a_5: Sudah" sqref="H2250" xr:uid="{00000000-0002-0000-0100-000057060000}">
      <formula1>"1,5"</formula1>
    </dataValidation>
    <dataValidation type="decimal" operator="lessThanOrEqual" allowBlank="1" showInputMessage="1" showErrorMessage="1" error="Desa Tidak Berbatasan langsung dengan laut diisi 0 (NOL)" promptTitle="Panjang Garis Pantai" prompt="(Diisi Angka)" sqref="H482" xr:uid="{00000000-0002-0000-0100-000058060000}">
      <formula1>IF(H481="tidak",0,500)</formula1>
    </dataValidation>
    <dataValidation type="list" allowBlank="1" showInputMessage="1" showErrorMessage="1" promptTitle="Kemudahan Akses Air Minum Warga" prompt="1: Sulit (masih menggunakan 1 sumber mata air/masih menggunakan air tanah)_x000a_3: Sedang (sebagian sudah terlayani PDAM dan sebagian lainnya  menggunakan air tanah)_x000a_5: Mudah (sudah terlayani PDAM secara menyeluruh)" sqref="H1897" xr:uid="{00000000-0002-0000-0100-000059060000}">
      <formula1>"1,3,5"</formula1>
    </dataValidation>
    <dataValidation type="decimal" allowBlank="1" showInputMessage="1" showErrorMessage="1" promptTitle="Total Produksi Panen dalam 1 Thn" prompt="Sebutkan (Ton Per Tahun)" sqref="H1151" xr:uid="{00000000-0002-0000-0100-00005A060000}">
      <formula1>0</formula1>
      <formula2>IF(H1038="Tidak ada",0,25000)</formula2>
    </dataValidation>
    <dataValidation type="list" allowBlank="1" showInputMessage="1" showErrorMessage="1" promptTitle="Pihak Pengelola Wisata Taman" prompt="Tidak Ada_x000a_Pemerintah_x000a_Swasta_x000a_BUMN_x000a_BUMD_x000a_BUM Des_x000a_BUM Des Bersama_x000a_Kelompok_x000a_Pribadi_x000a_Lainnya" sqref="H191" xr:uid="{00000000-0002-0000-0100-00005B060000}">
      <formula1>IF(H189="Tidak Ada",Tidak_Ada,Pengelola_wisata)</formula1>
    </dataValidation>
    <dataValidation type="decimal" allowBlank="1" showInputMessage="1" showErrorMessage="1" promptTitle="Total Produksi Panen dalam 1 Thn" prompt="Sebutkan (Ton Per Tahun)" sqref="H1132" xr:uid="{00000000-0002-0000-0100-00005C060000}">
      <formula1>0</formula1>
      <formula2>IF(H1038="Tidak ada",0,25000)</formula2>
    </dataValidation>
    <dataValidation allowBlank="1" showInputMessage="1" showErrorMessage="1" promptTitle="Ativitas Wisata Laut/Danau" prompt="Contoh:_x000a_Menyelam, Snorkling, Selancar, Memancing" sqref="H132" xr:uid="{00000000-0002-0000-0100-00005D060000}"/>
    <dataValidation type="custom" operator="greaterThanOrEqual" allowBlank="1" showInputMessage="1" showErrorMessage="1" errorTitle="JLH PENDUDUK pd BIDANG PEKERJAAN" error="Total pendudukn Berdasarkan PEKERJAAN Harus LEBIH KECIL dari TOTAL PENDUDUK di Desa" promptTitle="Jumlah Pekerjaan Petani" prompt="Jumlah Pekerja Petani Laki-Laki" sqref="H511" xr:uid="{00000000-0002-0000-0100-00005E060000}">
      <formula1>($H$511+$H$512+$H$513+$H$514+$H$515+$H$516+$H$517+$H$518+$H$519+$H$520+$H$521+$H$522+$H$523+$H$524+$H$525+$H$526+$H$527+$H$528+$H$529+$H$530+$H$531+$H$532+$H$533+$H$534+$H$535)&lt;=$H$493</formula1>
    </dataValidation>
    <dataValidation type="list" showInputMessage="1" showErrorMessage="1" promptTitle="Air Minum dari Sumber Lainnya" prompt="Keterangan:_x000a_0 : Tidak_x000a_1 : Ya" sqref="H892" xr:uid="{00000000-0002-0000-0100-000060060000}">
      <formula1>"0,1"</formula1>
    </dataValidation>
    <dataValidation type="list" showInputMessage="1" showErrorMessage="1" promptTitle="Tdapat Bumdesa Jasa Penyewaan" prompt="Terdapat Bumdesa Jasa Penyewaan_x000a_0: Tidak Ada_x000a_1: Ada" sqref="H1409" xr:uid="{00000000-0002-0000-0100-000061060000}">
      <formula1>IF(H$1397=0,Tidak_tersedia,Tersedia)</formula1>
    </dataValidation>
    <dataValidation type="list" showInputMessage="1" showErrorMessage="1" promptTitle="Sumber air" prompt="Ketersediaan Sumber Air di Desa_x000a_1: Ya, Sepanjang Tahun_x000a_2: Ya, Kecuali Saat Tertentu Seperti Kemarau atau Kondisi Lainnya_x000a_3: Tidak Tersedia Sumber Air" sqref="H1474" xr:uid="{00000000-0002-0000-0100-000062060000}">
      <formula1>"1,2,3"</formula1>
    </dataValidation>
    <dataValidation type="whole" operator="lessThanOrEqual" allowBlank="1" showInputMessage="1" showErrorMessage="1" errorTitle="PERHATIKAN JUMLAH PENDUDUK" error="CEK JUMLAH PENDUDUK DI DESA, Tidak dapat Melebihi Jumlah Penduduk. Tidak Terdapat Tambang Nikel_x000a_(Hanya diInput Angka)" promptTitle="Jlh Naker Lokal Tambang Nikel" prompt=" (Diisi Angka)" sqref="H293" xr:uid="{00000000-0002-0000-0100-000063060000}">
      <formula1>IF(H290="tidak ada",0,$H$493)</formula1>
    </dataValidation>
    <dataValidation type="list" allowBlank="1" showInputMessage="1" showErrorMessage="1" promptTitle="Pihak Dampingan Wisata Budaya" prompt="Tidak Ada_x000a_Pemerintah_x000a_BUMN_x000a_BUMD_x000a_Swasta (CSR)_x000a_Akademisi_x000a_Lainnya" sqref="H209" xr:uid="{00000000-0002-0000-0100-000064060000}">
      <formula1>IF(H205="tidak ada",Tidak_Ada,Pendamping_wisata)</formula1>
    </dataValidation>
    <dataValidation type="list" allowBlank="1" showInputMessage="1" showErrorMessage="1" promptTitle="Buku Inventaris &amp; Kekayaan Desa" prompt="Diisi_x000a_Tidak Diisi" sqref="H2154" xr:uid="{00000000-0002-0000-0100-000065060000}">
      <formula1>IF($H$2150="Belum",Tidak_Diisi,Diisi)</formula1>
    </dataValidation>
    <dataValidation type="decimal" operator="greaterThanOrEqual" allowBlank="1" showInputMessage="1" showErrorMessage="1" promptTitle="Jarak SLB Terdekat" prompt="(Meter)" sqref="H842" xr:uid="{00000000-0002-0000-0100-000068060000}">
      <formula1>0</formula1>
    </dataValidation>
    <dataValidation allowBlank="1" showInputMessage="1" showErrorMessage="1" promptTitle="Pengelola Wisata Pemandian Umum" prompt="Sebutkan" sqref="H185" xr:uid="{00000000-0002-0000-0100-00006A060000}"/>
    <dataValidation type="whole" allowBlank="1" showInputMessage="1" showErrorMessage="1" error="Tidak Melebihi Jumlah POSYANDU" promptTitle="Posyandu Mlakukan Kegiatan /2bln" prompt="Input Menggunakan Angka" sqref="H602" xr:uid="{00000000-0002-0000-0100-00006B060000}">
      <formula1>0</formula1>
      <formula2>IF(H600=0,0,H600)</formula2>
    </dataValidation>
    <dataValidation type="whole" allowBlank="1" showInputMessage="1" showErrorMessage="1" promptTitle="Nomor Telp KAUR Keuangan Aktif" prompt="Di isi tanpa awalan angka NOL (0)_x000a_contoh:_x000a_8171234567890" sqref="H71" xr:uid="{00000000-0002-0000-0100-00006F060000}">
      <formula1>8111111111</formula1>
      <formula2>88888888888</formula2>
    </dataValidation>
    <dataValidation type="textLength" operator="equal" allowBlank="1" showInputMessage="1" showErrorMessage="1" error="KODE DESA 10 DIGIT" promptTitle="Permendagri Tahun 2022" prompt="Permendagri No.100.1.1-6117 Tahun 2022" sqref="H25" xr:uid="{00000000-0002-0000-0100-000070060000}">
      <formula1>10</formula1>
    </dataValidation>
    <dataValidation type="list" allowBlank="1" showInputMessage="1" showErrorMessage="1" promptTitle="Jenis Jalan Desa/Lingkungan" prompt="Ya_x000a_Tidak" sqref="H2127" xr:uid="{00000000-0002-0000-0100-000071060000}">
      <formula1>"Ya, Tidak"</formula1>
    </dataValidation>
    <dataValidation type="list" allowBlank="1" showInputMessage="1" showErrorMessage="1" promptTitle="Terdapat Produk Unggulan Jagung" prompt="Ada_x000a_Tidak Ada" sqref="H964" xr:uid="{00000000-0002-0000-0100-000072060000}">
      <formula1>"Ada, Tidak Ada"</formula1>
    </dataValidation>
    <dataValidation type="list" showInputMessage="1" showErrorMessage="1" promptTitle="Sumber Energi PJU dari PLN" prompt="0: Tidak Ada_x000a_1: Ada" sqref="H927" xr:uid="{00000000-0002-0000-0100-000073060000}">
      <formula1>"0,1"</formula1>
    </dataValidation>
    <dataValidation allowBlank="1" showInputMessage="1" showErrorMessage="1" promptTitle="Ketersediaan Penginapan di Desa" prompt="1: Tidak ada_x000a_5: Ada_x000a_(IDM E 523.a)" sqref="H2047" xr:uid="{00000000-0002-0000-0100-000074060000}"/>
    <dataValidation type="whole" operator="greaterThanOrEqual" allowBlank="1" showInputMessage="1" showErrorMessage="1" promptTitle="Total LPM dan Anggota" prompt="LPM dan Anggota Perempuan_x000a_(Terisi dari Unggah Template Staf Petugas Desa dan Lembaga Kemasayarakatan Desa)" sqref="H82" xr:uid="{00000000-0002-0000-0100-000075060000}">
      <formula1>0</formula1>
    </dataValidation>
    <dataValidation type="decimal" operator="lessThanOrEqual" allowBlank="1" showInputMessage="1" showErrorMessage="1" promptTitle="Jarak SMU/MA/SMK T'dekat" prompt=" " sqref="H685" xr:uid="{00000000-0002-0000-0100-000076060000}">
      <formula1>250000</formula1>
    </dataValidation>
    <dataValidation type="whole" allowBlank="1" showInputMessage="1" showErrorMessage="1" prompt="(Diisi Angka)" sqref="H2252" xr:uid="{00000000-0002-0000-0100-000077060000}">
      <formula1>0</formula1>
      <formula2>24</formula2>
    </dataValidation>
    <dataValidation type="decimal" operator="lessThanOrEqual" allowBlank="1" showInputMessage="1" showErrorMessage="1" promptTitle="Total Produksi Panen dalam 1 Thn" prompt="Sebutkan (Ton Per Tahun)" sqref="H1011" xr:uid="{00000000-0002-0000-0100-000078060000}">
      <formula1>IF(H960="tidak ada",0,25000)</formula1>
    </dataValidation>
    <dataValidation type="list" showInputMessage="1" showErrorMessage="1" promptTitle="Air Minum dari Sumur" prompt="Keterangan:_x000a_0 : Tidak_x000a_1 : Ya" sqref="H888" xr:uid="{00000000-0002-0000-0100-000079060000}">
      <formula1>"0,1"</formula1>
    </dataValidation>
    <dataValidation type="whole" operator="lessThanOrEqual" allowBlank="1" showInputMessage="1" showErrorMessage="1" promptTitle="Jlh KK Manfaatkn E-Microhydro" prompt=" " sqref="H923" xr:uid="{00000000-0002-0000-0100-00007B060000}">
      <formula1>$H$499</formula1>
    </dataValidation>
    <dataValidation type="list" allowBlank="1" showInputMessage="1" showErrorMessage="1" promptTitle="Kondisi KK Rumah Semi Permanen" prompt="1. Baik_x000a_2. Sedang_x000a_3. Rusak" sqref="H880" xr:uid="{00000000-0002-0000-0100-00007C060000}">
      <formula1>"1,2,3"</formula1>
    </dataValidation>
    <dataValidation type="decimal" operator="lessThanOrEqual" allowBlank="1" showInputMessage="1" showErrorMessage="1" promptTitle="Jarak Sarkes Terdekat" prompt="Diukur dari Kantor Desa atau Pusat Keramaian" sqref="H543" xr:uid="{00000000-0002-0000-0100-00007D060000}">
      <formula1>50000</formula1>
    </dataValidation>
    <dataValidation type="whole" operator="greaterThanOrEqual" allowBlank="1" showInputMessage="1" showErrorMessage="1" promptTitle="Total BPD dan Anggota" prompt="BPD dan Anggota Laki-Laki_x000a_(Terisi dari Unggah Template Staf Petugas Desa dan Lembaga Kemasayarakatan Desa)" sqref="H79" xr:uid="{00000000-0002-0000-0100-00007F060000}">
      <formula1>0</formula1>
    </dataValidation>
    <dataValidation type="list" allowBlank="1" showInputMessage="1" showErrorMessage="1" promptTitle="Terdapat Wisata Air Panas" prompt="Ada_x000a_Tidak Ada" sqref="H159" xr:uid="{00000000-0002-0000-0100-000080060000}">
      <formula1>"Ada, Tidak Ada"</formula1>
    </dataValidation>
    <dataValidation type="decimal" allowBlank="1" showInputMessage="1" showErrorMessage="1" promptTitle="Luas Lahan Tanaman Pete" prompt="(Dalam Satuan Luas Ha)_x000a_1 Km2 = 100 Ha" sqref="H993" xr:uid="{00000000-0002-0000-0100-000081060000}">
      <formula1>0</formula1>
      <formula2>IF(H992="tidak ada",0,25000)</formula2>
    </dataValidation>
    <dataValidation type="whole" operator="greaterThanOrEqual" allowBlank="1" showInputMessage="1" showErrorMessage="1" promptTitle="Anggaran Bangun Rumah Tahun 2022" prompt="Input dengan Angka" sqref="H872" xr:uid="{00000000-0002-0000-0100-000082060000}">
      <formula1>0</formula1>
    </dataValidation>
    <dataValidation type="whole" operator="lessThanOrEqual" allowBlank="1" showInputMessage="1" showErrorMessage="1" errorTitle="PERHATIAN" error="Total PAUD Pemerintah dan Non Pemerintah tidak lebih dari 30 Unit._x000a_Tidak Terdapat PAUD. Diisi 0 (NOL)" promptTitle="Jlh PAUD Pemerintah " prompt="(Unit)" sqref="H708" xr:uid="{00000000-0002-0000-0100-000083060000}">
      <formula1>IF(H707=0,0,30)</formula1>
    </dataValidation>
    <dataValidation allowBlank="1" showInputMessage="1" showErrorMessage="1" promptTitle="Falititas/ Lapangan Lainnya" prompt="(Sebutkan)" sqref="H773" xr:uid="{00000000-0002-0000-0100-000084060000}"/>
    <dataValidation type="whole" operator="greaterThanOrEqual" allowBlank="1" showInputMessage="1" showErrorMessage="1" promptTitle="Jumlah Pekerjaan PBK" prompt="Jumlah Pekerja Penyandang Kebutuhan Khusus Perempuan_x000a_(Tergitung Secara Otomatis)" sqref="H538" xr:uid="{00000000-0002-0000-0100-000085060000}">
      <formula1>0</formula1>
    </dataValidation>
    <dataValidation type="list" allowBlank="1" showInputMessage="1" showErrorMessage="1" promptTitle="Terdapat Produk Unggulan Pete" prompt="Ada_x000a_Tidak Ada" sqref="H992" xr:uid="{00000000-0002-0000-0100-000087060000}">
      <formula1>"Ada, Tidak Ada"</formula1>
    </dataValidation>
    <dataValidation type="list" allowBlank="1" showInputMessage="1" showErrorMessage="1" promptTitle="Terdapat Wisata Air Terjun" prompt="Ada_x000a_Tidak Ada" sqref="H152" xr:uid="{00000000-0002-0000-0100-000088060000}">
      <formula1>"Ada, Tidak Ada"</formula1>
    </dataValidation>
    <dataValidation type="whole" operator="lessThanOrEqual" allowBlank="1" showInputMessage="1" showErrorMessage="1" errorTitle="PERHATIKAN JUMLAH PENDUDUK" error="CEK JUMLAH PENDUDUK DI DESA, Tidak dapat Melebihi Jumlah Penduduk._x000a_Tidak Terdapat Tambang Batu Kapur_x000a_(Hanya diInput Angka)" promptTitle="Jlh Naker Tambang Batu Kapur" prompt=" (Diisi Angka)" sqref="H344" xr:uid="{00000000-0002-0000-0100-000089060000}">
      <formula1>IF(H342="tidak ada",0,$H$493)</formula1>
    </dataValidation>
    <dataValidation type="decimal" operator="lessThanOrEqual" allowBlank="1" showInputMessage="1" showErrorMessage="1" promptTitle="Luas Hutan Rakyat di Desa" prompt="(Dalam Satuan Luas Ha)_x000a_1 Km2 = 100 Ha" sqref="H260" xr:uid="{00000000-0002-0000-0100-00008C060000}">
      <formula1>25000</formula1>
    </dataValidation>
    <dataValidation type="list" allowBlank="1" showInputMessage="1" showErrorMessage="1" promptTitle="Terdapat Keg OR Tenis Meja" prompt="1. Tidak terdapat Kegiatan_x000a_2. Terdapat 1 Kali Kegiatan_x000a_3. Terdapat 2-3 Kali Kegiatan_x000a_4. Terdapat 4-5 Kali Kegiatan_x000a_5. Terdapat &gt;5 Kali Kegiatan" sqref="H1951" xr:uid="{00000000-0002-0000-0100-00008D060000}">
      <formula1>"1,2,3,4,5"</formula1>
    </dataValidation>
    <dataValidation type="decimal" allowBlank="1" showInputMessage="1" showErrorMessage="1" error="Tidak Terdapat Produk Unggulan,_x000a_Diisi 0 (Nol)" promptTitle="Luas Lahan Tanaman " prompt="(Dalam Satuan Luas Ha)_x000a_1 Km2 = 100 Ha" sqref="H1266" xr:uid="{00000000-0002-0000-0100-00008F060000}">
      <formula1>0</formula1>
      <formula2>IF(H1038="Tidak Ada",0,25000)</formula2>
    </dataValidation>
    <dataValidation allowBlank="1" showInputMessage="1" showErrorMessage="1" promptTitle="Pdampingan Pberdayaan Masyarakat" prompt="Sebutkan" sqref="H1523" xr:uid="{00000000-0002-0000-0100-000090060000}"/>
    <dataValidation allowBlank="1" showInputMessage="1" showErrorMessage="1" promptTitle="Produk Unggulan Sayur Lainnya" prompt="(Sebutkan)" sqref="H1204" xr:uid="{00000000-0002-0000-0100-000091060000}"/>
    <dataValidation type="list" allowBlank="1" showInputMessage="1" showErrorMessage="1" promptTitle="Status kelola Tambang Bt Kerikil" prompt="Tidak Ada_x000a_Pemerintah_x000a_BUMN_x000a_BUMD_x000a_Swasta_x000a_Perorangan_x000a_Lainnya" sqref="H370" xr:uid="{00000000-0002-0000-0100-000092060000}">
      <formula1>IF($H366="tidak ada",Tidak_Ada,Tambang)</formula1>
    </dataValidation>
    <dataValidation type="list" allowBlank="1" showInputMessage="1" showErrorMessage="1" promptTitle="Kerjasama Desa dgn Pihak Ketiga" prompt="1: Belum_x000a_5: Sudah" sqref="H2020" xr:uid="{00000000-0002-0000-0100-000093060000}">
      <formula1>"1,5"</formula1>
    </dataValidation>
    <dataValidation type="decimal" operator="lessThanOrEqual" allowBlank="1" showInputMessage="1" showErrorMessage="1" promptTitle="Total Produksi Panen dalam 1 Thn" prompt="Sebutkan (Ton Per Tahun)" sqref="H995" xr:uid="{00000000-0002-0000-0100-000094060000}">
      <formula1>IF(H960="tidak ada",0,25000)</formula1>
    </dataValidation>
    <dataValidation type="list" allowBlank="1" showInputMessage="1" showErrorMessage="1" promptTitle="Unggulan 1 Pangan Pasar Ekspor" prompt="-, (Lainnya), Padi, Jagung, Kedelai, Kacang Tanah, Kacang Hijau, Ubi Jalar, Ubi Kayu, Melinjo, Pete, Jengkol, Talas, Merica, Kentang, Wortel, Sorgum, Sagu, Gandum, Sukun" sqref="H1303" xr:uid="{00000000-0002-0000-0100-000095060000}">
      <formula1>$K$959:$K$978</formula1>
    </dataValidation>
    <dataValidation allowBlank="1" showInputMessage="1" showErrorMessage="1" promptTitle="Pengelola Wisata SumberAir Panas" prompt="Sebutkan" sqref="H162" xr:uid="{00000000-0002-0000-0100-000096060000}"/>
    <dataValidation allowBlank="1" showInputMessage="1" showErrorMessage="1" promptTitle="Terdapat Aset Desa Lainnya" prompt="Sebutkan" sqref="H1619" xr:uid="{00000000-0002-0000-0100-000097060000}"/>
    <dataValidation allowBlank="1" showInputMessage="1" showErrorMessage="1" prompt="Nama Akun Instragram Desa" sqref="H38" xr:uid="{00000000-0002-0000-0100-000098060000}"/>
    <dataValidation type="list" allowBlank="1" showInputMessage="1" showErrorMessage="1" promptTitle="Terdapat Wisata Kuliner" prompt="Ada_x000a_Tidak Ada" sqref="H219" xr:uid="{00000000-0002-0000-0100-000099060000}">
      <formula1>"Ada, Tidak Ada"</formula1>
    </dataValidation>
    <dataValidation type="list" showInputMessage="1" showErrorMessage="1" promptTitle="Adanya Warga Beragama Kristen" prompt="Keterangan:_x000a_0 : Tidak Ada_x000a_1 : Ada" sqref="H779" xr:uid="{00000000-0002-0000-0100-00009A060000}">
      <formula1>"0,1"</formula1>
    </dataValidation>
    <dataValidation type="list" allowBlank="1" showInputMessage="1" showErrorMessage="1" promptTitle="Terdapat Tambang Pasir" prompt="Ada_x000a_Tidak Ada" sqref="H354" xr:uid="{00000000-0002-0000-0100-00009B060000}">
      <formula1>"Ada, Tidak Ada"</formula1>
    </dataValidation>
    <dataValidation type="whole" allowBlank="1" showInputMessage="1" showErrorMessage="1" prompt="IDM 266.e" sqref="H1779" xr:uid="{00000000-0002-0000-0100-00009C060000}">
      <formula1>0</formula1>
      <formula2>200</formula2>
    </dataValidation>
    <dataValidation type="custom" operator="greaterThanOrEqual" allowBlank="1" showInputMessage="1" showErrorMessage="1" errorTitle="JLH PENDUDUK pd BIDANG PEKERJAAN" error="Total pendudukn Berdasarkan PEKERJAAN Harus LEBIH KECIL dari TOTAL PENDUDUK di Desa" promptTitle="Jumlah Pekerjaan TNI" prompt="Jumlah Pekerja TNI Laki-Laki" sqref="H525" xr:uid="{00000000-0002-0000-0100-00009D060000}">
      <formula1>($H$511+$H$512+$H$513+$H$514+$H$515+$H$516+$H$517+$H$518+$H$519+$H$520+$H$521+$H$522+$H$523+$H$524+$H$525+$H$526+$H$527+$H$528+$H$529+$H$530+$H$531+$H$532+$H$533+$H$534+$H$535)&lt;=$H$493</formula1>
    </dataValidation>
    <dataValidation type="whole" allowBlank="1" showInputMessage="1" showErrorMessage="1" error="Tidak terdapat konflik lahan" promptTitle="Jlh Konflik dengan Aparat" prompt="Jlh konflik dengan Aparat Keamanan Terkait Lahan" sqref="H817" xr:uid="{00000000-0002-0000-0100-00009E060000}">
      <formula1>0</formula1>
      <formula2>IF(H814=0,0,50)</formula2>
    </dataValidation>
    <dataValidation type="list" allowBlank="1" showInputMessage="1" showErrorMessage="1" promptTitle="Unggulan 2 Pasar Ekspor" prompt="-, Buah Lainnya, Jeruk Loka, Mangga Lokal, Tomat, Semangka, Jeruk Nipis, Jeruk Lemon, Jeruk Bali, Mangga Manalagi, Mangga Alpukat, Mangga Harum Manis, Mangga Gedonggincu, Mangga Malibu, Mangga Apel, Melon, Stroberi, Rambutan, Pepaya, Jambu, Pisang, Nanas," sqref="H1313" xr:uid="{00000000-0002-0000-0100-00009F060000}">
      <formula1>$K$1038:$K$1070</formula1>
    </dataValidation>
    <dataValidation type="decimal" allowBlank="1" showInputMessage="1" showErrorMessage="1" error="Tidak Terdapat Produk Unggulan,_x000a_Diisi 0 (Nol)" promptTitle="Luas Lahan Tanaman " prompt="(Dalam Satuan Luas Ha)_x000a_1 Km2 = 100 Ha" sqref="H1144" xr:uid="{00000000-0002-0000-0100-0000A0060000}">
      <formula1>0</formula1>
      <formula2>IF(H1038="Tidak Ada",0,25000)</formula2>
    </dataValidation>
    <dataValidation type="decimal" allowBlank="1" showInputMessage="1" showErrorMessage="1" error="Tidak Terdapat Produk Unggulan,_x000a_Diisi 0 (Nol)" promptTitle="Luas Lahan Tanaman " prompt="(Dalam Satuan Luas Ha)_x000a_1 Km2 = 100 Ha" sqref="H1086" xr:uid="{00000000-0002-0000-0100-0000A1060000}">
      <formula1>0</formula1>
      <formula2>IF(H1038="Tidak Ada",0,25000)</formula2>
    </dataValidation>
    <dataValidation type="list" allowBlank="1" showInputMessage="1" showErrorMessage="1" promptTitle="Anak Usia SD Putus/Tidak Sekolah" prompt="Keterangan:_x000a_0 : Tidak Ada_x000a_1 : Ada" sqref="H702" xr:uid="{00000000-0002-0000-0100-0000A2060000}">
      <formula1>"0,1"</formula1>
    </dataValidation>
    <dataValidation type="list" showInputMessage="1" showErrorMessage="1" promptTitle="Pencemaran Tanah" prompt="Terjadi pencemaran tanah_x000a_0: Tidak_x000a_1: Ya" sqref="H1480" xr:uid="{00000000-0002-0000-0100-0000A3060000}">
      <formula1>"0,1"</formula1>
    </dataValidation>
    <dataValidation type="whole" allowBlank="1" showInputMessage="1" showErrorMessage="1" promptTitle="Nomor Telp KAUR TU dan Umum" prompt="Di isi tanpa awalan angka NOL (0)_x000a_contoh:_x000a_8171234567890" sqref="H67" xr:uid="{00000000-0002-0000-0100-0000A4060000}">
      <formula1>8111111111</formula1>
      <formula2>88888888888</formula2>
    </dataValidation>
    <dataValidation type="list" allowBlank="1" showInputMessage="1" showErrorMessage="1" promptTitle="Keteribatan Warga Gotong Royong" prompt="1: Tidak terdapat kegiatan_x000a_3: Sebagian kecil warga terlibat (&lt; 50% terlibat)_x000a_5: Sebagian besar warga terlibat (≥ 50% terlibat)" sqref="H1941" xr:uid="{00000000-0002-0000-0100-0000A5060000}">
      <formula1>IF(OR($H$1940=1,$H$1940=""),Non_listrik,damai)</formula1>
    </dataValidation>
    <dataValidation type="list" allowBlank="1" showInputMessage="1" showErrorMessage="1" promptTitle="Pihak Pengelola Wisata Embung" prompt="Tidak Ada_x000a_Pemerintah_x000a_Swasta_x000a_BUMN_x000a_BUMD_x000a_BUM Des_x000a_BUM Des Bersama_x000a_Kelompok_x000a_Pribadi_x000a_Lainnya" sqref="H177" xr:uid="{00000000-0002-0000-0100-0000A6060000}">
      <formula1>IF(H175="Tidak Ada",Tidak_Ada,Pengelola_wisata)</formula1>
    </dataValidation>
    <dataValidation type="decimal" operator="lessThanOrEqual" allowBlank="1" showInputMessage="1" showErrorMessage="1" promptTitle="Total Luas Wilayah Desa" prompt="(Dalam Satuan Luas Ha)_x000a_1 Km2 = 100 Ha" sqref="H94" xr:uid="{00000000-0002-0000-0100-0000A7060000}">
      <formula1>250000</formula1>
    </dataValidation>
    <dataValidation type="whole" allowBlank="1" showInputMessage="1" showErrorMessage="1" error="Tidak Terdapat Gotong Royong di desa Diisi 0" promptTitle="Jlh Frek Gotong Royong " prompt="(Kali/Thn)" sqref="H733" xr:uid="{00000000-0002-0000-0100-0000A9060000}">
      <formula1>0</formula1>
      <formula2>IF(H732=0,0,24)</formula2>
    </dataValidation>
    <dataValidation type="list" allowBlank="1" showInputMessage="1" showErrorMessage="1" promptTitle="Kerjasama Desa" prompt="0: Tidak Ada Kerjasama_x000a_1: Kerjasama Antar Desa Dalam Satu Kecamatan_x000a_2: Kerjasama Antar Desa Diluar Kecamatan_x000a_3: Kerjasama Desa/BUMDes Dengan Pihak Ketiga_x000a_4: Kerjasama Antar Desa (Eks PNPM)" sqref="H1544" xr:uid="{00000000-0002-0000-0100-0000AA060000}">
      <formula1>"0,1,2,3,4"</formula1>
    </dataValidation>
    <dataValidation type="list" allowBlank="1" showInputMessage="1" showErrorMessage="1" promptTitle="Cakupan Produk Unggulan Desa" prompt="1: Penjualan masih di dalam desa_x000a_5: Penjualan sudah sampai ke luar desa" sqref="H2013" xr:uid="{00000000-0002-0000-0100-0000AB060000}">
      <formula1>"1,5"</formula1>
    </dataValidation>
    <dataValidation type="whole" allowBlank="1" showInputMessage="1" showErrorMessage="1" promptTitle="Jlh Fasilitas Lap Lainnya" prompt="(Sebutkan)" sqref="H772" xr:uid="{00000000-0002-0000-0100-0000AD060000}">
      <formula1>0</formula1>
      <formula2>10</formula2>
    </dataValidation>
    <dataValidation allowBlank="1" showInputMessage="1" showErrorMessage="1" promptTitle="Nama Wisata Alam Lainnya" prompt="Sebutkan" sqref="H167" xr:uid="{00000000-0002-0000-0100-0000AE060000}"/>
    <dataValidation type="list" allowBlank="1" showInputMessage="1" showErrorMessage="1" promptTitle="Tersedia Lembaga Ekonomi Lainnya" prompt="1: Tidak ada_x000a_5: Ada" sqref="H2063" xr:uid="{00000000-0002-0000-0100-0000AF060000}">
      <formula1>"1,5"</formula1>
    </dataValidation>
    <dataValidation type="decimal" operator="lessThanOrEqual" allowBlank="1" showInputMessage="1" showErrorMessage="1" promptTitle="Total Produksi Panen dalam 1 Thn" prompt="Sebutkan (Ton Per Tahun)" sqref="H1197" xr:uid="{00000000-0002-0000-0100-0000B1060000}">
      <formula1>25000</formula1>
    </dataValidation>
    <dataValidation type="decimal" operator="lessThanOrEqual" allowBlank="1" showInputMessage="1" showErrorMessage="1" promptTitle="Total Produksi Panen dalam 1 Thn" prompt="Sebutkan (Ton Per Tahun)" sqref="H1027" xr:uid="{00000000-0002-0000-0100-0000B2060000}">
      <formula1>IF(H960="tidak ada",0,25000)</formula1>
    </dataValidation>
    <dataValidation type="list" operator="greaterThanOrEqual" showInputMessage="1" showErrorMessage="1" promptTitle="Info APBDes (Website)" prompt="0: Tidak_x000a_1: Ya" sqref="H1623" xr:uid="{00000000-0002-0000-0100-0000B3060000}">
      <formula1>"0,1"</formula1>
    </dataValidation>
    <dataValidation type="list" allowBlank="1" showInputMessage="1" showErrorMessage="1" promptTitle="Status kelola Tambang Tembaga" prompt="Tidak Ada_x000a_Pemerintah_x000a_BUMN_x000a_BUMD_x000a_Swasta_x000a_Perorangan_x000a_Lainnya" sqref="H314" xr:uid="{00000000-0002-0000-0100-0000B4060000}">
      <formula1>IF($H310="tidak ada",Tidak_Ada,Tambang)</formula1>
    </dataValidation>
    <dataValidation type="list" allowBlank="1" showInputMessage="1" showErrorMessage="1" promptTitle="Terdapat Tambang Gol C Lainnya" prompt="Ada_x000a_Tidak Ada" sqref="H384" xr:uid="{00000000-0002-0000-0100-0000B5060000}">
      <formula1>"Ada, Tidak Ada"</formula1>
    </dataValidation>
    <dataValidation allowBlank="1" showInputMessage="1" showErrorMessage="1" promptTitle="Ket Perjalanan Desa ke Gubernur" prompt="Contoh:_x000a_Menggunakan Kapal Penyebrangan, dilanjutkan kendaraan Bus Kemudian menggunakan kendaraan umum di Provinsi" sqref="H1710" xr:uid="{00000000-0002-0000-0100-0000B6060000}"/>
    <dataValidation type="list" allowBlank="1" showInputMessage="1" showErrorMessage="1" promptTitle="Buku Rekapitulasi Jlh Penduduk" prompt="Diisi_x000a_Tidak Diisi" sqref="H2164" xr:uid="{00000000-0002-0000-0100-0000B7060000}">
      <formula1>IF($H$2160="Belum",Tidak_Diisi,Diisi)</formula1>
    </dataValidation>
    <dataValidation type="whole" operator="lessThanOrEqual" allowBlank="1" showInputMessage="1" showErrorMessage="1" error="Tidak Terdapat Perkebunan Tembakau. Diisi 0 (NOL)_x000a_Tidak Melebihi Jumlah Penduduk di Desa" promptTitle="Jlh Petani Perkebunan Tembakau" prompt=" _x000a_" sqref="H466" xr:uid="{00000000-0002-0000-0100-0000B8060000}">
      <formula1>IF(H461="Tidak ada",0,$H$493)</formula1>
    </dataValidation>
    <dataValidation type="list" allowBlank="1" showInputMessage="1" showErrorMessage="1" promptTitle="Status kelola Tambang Batu Kapur" prompt="Tidak Ada_x000a_Pemerintah_x000a_BUMN_x000a_BUMD_x000a_Swasta_x000a_Perorangan_x000a_Lainnya" sqref="H346" xr:uid="{00000000-0002-0000-0100-0000B9060000}">
      <formula1>IF($H342="tidak ada",Tidak_Ada,Tambang)</formula1>
    </dataValidation>
    <dataValidation type="whole" operator="lessThanOrEqual" allowBlank="1" showInputMessage="1" showErrorMessage="1" error="Tidak Terdapat Perkebunan Lainnya. Diisi 0 (NOL)._x000a_Tidak Melebihi Jumlah Penduduk di Desa" promptTitle="Jlh Petani Perkebunan Lainnya" prompt=" _x000a_" sqref="H477" xr:uid="{00000000-0002-0000-0100-0000BA060000}">
      <formula1>IF(H470="Tidak ada",0,$H$493)</formula1>
    </dataValidation>
    <dataValidation type="decimal" allowBlank="1" showInputMessage="1" showErrorMessage="1" promptTitle="Luas Lahan Tanaman Kacang Hijau" prompt="(Dalam Satuan Luas Ha)_x000a_1 Km2 = 100 Ha" sqref="H977" xr:uid="{00000000-0002-0000-0100-0000BB060000}">
      <formula1>0</formula1>
      <formula2>IF(H976="tidak ada",0,25000)</formula2>
    </dataValidation>
    <dataValidation type="list" showInputMessage="1" showErrorMessage="1" promptTitle="Sumber air Danau" prompt="Ya_x000a_Tidak" sqref="H1476" xr:uid="{00000000-0002-0000-0100-0000BC060000}">
      <formula1>IF($H$1474=3, Tidak_Ada,Ya)</formula1>
    </dataValidation>
    <dataValidation type="whole" allowBlank="1" showInputMessage="1" showErrorMessage="1" error="KODE PROVINSI 2 DIGIT" promptTitle="Permendagri Tahun 2022" prompt="Permendagri No.100.1.1-6117 Tahun 2022" sqref="H19" xr:uid="{00000000-0002-0000-0100-0000BD060000}">
      <formula1>11</formula1>
      <formula2>95</formula2>
    </dataValidation>
    <dataValidation type="whole" operator="lessThanOrEqual" allowBlank="1" showInputMessage="1" showErrorMessage="1" promptTitle="Jlh Disabilitas Kecelakaan" prompt=" " sqref="H854" xr:uid="{00000000-0002-0000-0100-0000BE060000}">
      <formula1>50</formula1>
    </dataValidation>
    <dataValidation type="list" allowBlank="1" showInputMessage="1" showErrorMessage="1" promptTitle="Buku Penduduk Sementara" prompt="Diisi_x000a_Tidak Diisi" sqref="H2165" xr:uid="{00000000-0002-0000-0100-0000BF060000}">
      <formula1>IF($H$2160="Belum",Tidak_Diisi,Diisi)</formula1>
    </dataValidation>
    <dataValidation type="list" allowBlank="1" showInputMessage="1" showErrorMessage="1" promptTitle="Fungsi Poskesdes/Polindes" prompt="0: Tidak Berfungsi/ Tidak Aktif_x000a_1: Berfungsi/ Aktif" sqref="H598" xr:uid="{00000000-0002-0000-0100-0000C0060000}">
      <formula1>IF($H$595=0,Tidak_tersedia,Tersedia)</formula1>
    </dataValidation>
    <dataValidation type="whole" allowBlank="1" showInputMessage="1" showErrorMessage="1" promptTitle="Jarak (Meter) ke Kedai/ RM" prompt="(Diisi Angka)" sqref="H2043" xr:uid="{00000000-0002-0000-0100-0000C1060000}">
      <formula1>0</formula1>
      <formula2>50000</formula2>
    </dataValidation>
    <dataValidation type="decimal" allowBlank="1" showInputMessage="1" showErrorMessage="1" promptTitle="Total Produksi Panen dalam 1 Thn" prompt="Sebutkan (Ton Per Tahun)" sqref="H1234" xr:uid="{00000000-0002-0000-0100-0000C2060000}">
      <formula1>0</formula1>
      <formula2>IF(H1038="Tidak ada",0,25000)</formula2>
    </dataValidation>
    <dataValidation type="decimal" allowBlank="1" showInputMessage="1" showErrorMessage="1" error="Tidak Terdapat Produk Unggulan,_x000a_Diisi 0 (Nol)" promptTitle="Luas Lahan Tanaman " prompt="(Dalam Satuan Luas Ha)_x000a_1 Km2 = 100 Ha" sqref="H1048" xr:uid="{00000000-0002-0000-0100-0000C3060000}">
      <formula1>0</formula1>
      <formula2>IF(H1038="Tidak Ada",0,25000)</formula2>
    </dataValidation>
    <dataValidation type="decimal" allowBlank="1" showInputMessage="1" showErrorMessage="1" promptTitle="Total Produksi Panen dalam 1 Thn" prompt="Sebutkan (Ton Per Tahun)" sqref="H1237" xr:uid="{00000000-0002-0000-0100-0000C4060000}">
      <formula1>0</formula1>
      <formula2>IF(H1038="Tidak ada",0,25000)</formula2>
    </dataValidation>
    <dataValidation type="whole" operator="lessThanOrEqual" allowBlank="1" showInputMessage="1" showErrorMessage="1" error="Tidak Terdapat Wisata Buatan Lainnya,_x000a_Diisi 0 (Nol)" promptTitle="Jlh Naker Desa Wisata BuatanLain" prompt="Isi dengan Angka" sqref="H203" xr:uid="{00000000-0002-0000-0100-0000C5060000}">
      <formula1>IF(H196="tidak ada",0,10000)</formula1>
    </dataValidation>
    <dataValidation type="list" showInputMessage="1" showErrorMessage="1" promptTitle="Kerjasama Dengan Pihak BUMN" prompt="0: Tidak Ada_x000a_1: Ada" sqref="H1570" xr:uid="{00000000-0002-0000-0100-0000C6060000}">
      <formula1>"0,1"</formula1>
    </dataValidation>
    <dataValidation allowBlank="1" showInputMessage="1" showErrorMessage="1" promptTitle="Aktivitas Wisata Seni &amp; Tradisi" prompt="Contoh:_x000a_Musik Daerah, Pertunjukan Tari Tradisional, Upacara Adat, Ritual, Kerajinan Tradisional" sqref="H227" xr:uid="{00000000-0002-0000-0100-0000C7060000}"/>
    <dataValidation allowBlank="1" showInputMessage="1" showErrorMessage="1" promptTitle="APM Usia 6-12 SD/MI/Sederajat" prompt="1: 0 - 20%_x000a_2: &gt;20 - 40%_x000a_3: &gt;40 - 60%_x000a_4: &gt;60 - 80%_x000a_5: &gt;80 - 100%" sqref="H1757" xr:uid="{00000000-0002-0000-0100-0000C8060000}"/>
    <dataValidation type="list" showInputMessage="1" showErrorMessage="1" promptTitle="XL AXIATA" prompt="Operator / provider telepon seluler XL dapat menerima sinyal_x000a_0: Tidak_x000a_1: Ya" sqref="H936" xr:uid="{00000000-0002-0000-0100-0000C9060000}">
      <formula1>"0,1"</formula1>
    </dataValidation>
    <dataValidation type="list" allowBlank="1" showInputMessage="1" showErrorMessage="1" promptTitle="Tdpt Kejahatan Perdagangan Orang" prompt="Keterangan:_x000a_0 : Tidak Ada_x000a_1 : Ada" sqref="H837" xr:uid="{00000000-0002-0000-0100-0000CA060000}">
      <formula1>"0,1"</formula1>
    </dataValidation>
    <dataValidation type="list" allowBlank="1" showInputMessage="1" showErrorMessage="1" promptTitle="Desa Inklusi" prompt="Ya_x000a_Tidak" sqref="H109" xr:uid="{00000000-0002-0000-0100-0000CC060000}">
      <formula1>"Ya, Tidak"</formula1>
    </dataValidation>
    <dataValidation type="decimal" allowBlank="1" showInputMessage="1" showErrorMessage="1" error="Tidak Terdapat Produk Unggulan,_x000a_Diisi 0 (Nol)" promptTitle="Luas Lahan Tanaman " prompt="(Dalam Satuan Luas Ha)_x000a_1 Km2 = 100 Ha" sqref="H1116" xr:uid="{00000000-0002-0000-0100-0000CD060000}">
      <formula1>0</formula1>
      <formula2>IF(H1038="Tidak Ada",0,25000)</formula2>
    </dataValidation>
    <dataValidation type="whole" operator="greaterThanOrEqual" allowBlank="1" showInputMessage="1" showErrorMessage="1" promptTitle="Biaya Desa ke Bupati/Walikota" prompt="Biaya yang dikeluarkan untuk Transportasi Dari kantor Desa Ke Ke Kantor Bupati/Walikota" sqref="H1704" xr:uid="{00000000-0002-0000-0100-0000CF060000}">
      <formula1>0</formula1>
    </dataValidation>
    <dataValidation type="list" allowBlank="1" showInputMessage="1" showErrorMessage="1" promptTitle="Transportasi ke Layanan Nakes" prompt="1:  Yayasan/ Swasta/ Masyarakat_x000a_5:  Pemerintah" sqref="H1864" xr:uid="{00000000-0002-0000-0100-0000D0060000}">
      <formula1>"1,5"</formula1>
    </dataValidation>
    <dataValidation type="whole" allowBlank="1" showInputMessage="1" showErrorMessage="1" error="Tidak Kurang Dari Rumah Tidak Layak Huni di IDM no S 384.i" sqref="H1719" xr:uid="{00000000-0002-0000-0100-0000D1060000}">
      <formula1>H869</formula1>
      <formula2>50000</formula2>
    </dataValidation>
    <dataValidation type="list" allowBlank="1" showInputMessage="1" showErrorMessage="1" promptTitle="Adanya PMKS PSK" prompt="Keterangan:_x000a_0 : Tidak Ada_x000a_1 : Ada" sqref="H862" xr:uid="{00000000-0002-0000-0100-0000D2060000}">
      <formula1>"0,1"</formula1>
    </dataValidation>
    <dataValidation allowBlank="1" showInputMessage="1" showErrorMessage="1" promptTitle="Tersedia SMA/SMK/MA/MAK/Sedrajat" prompt="1: Tidak Ada SMA/SMK/MA/MAK/Sederajat_x000a_5: Terdapat &gt;=1 SMA/SMK/MA/MAK/Sederajat" sqref="H1772" xr:uid="{00000000-0002-0000-0100-0000D3060000}"/>
    <dataValidation type="list" allowBlank="1" showInputMessage="1" showErrorMessage="1" promptTitle="T'dapat Produk Unggulan Ubi Kayu" prompt="Ada_x000a_Tidak Ada" sqref="H984" xr:uid="{00000000-0002-0000-0100-0000D4060000}">
      <formula1>"Ada, Tidak Ada"</formula1>
    </dataValidation>
    <dataValidation type="list" allowBlank="1" showInputMessage="1" showErrorMessage="1" promptTitle="Terdapat Bangunan Kantor Desa" prompt="0: Tidak Ada_x000a_1: Ada" sqref="H1612" xr:uid="{00000000-0002-0000-0100-0000D5060000}">
      <formula1>"0,1"</formula1>
    </dataValidation>
    <dataValidation type="decimal" allowBlank="1" showInputMessage="1" showErrorMessage="1" promptTitle="Total Produksi Panen dalam 1 Thn" prompt="Sebutkan (Ton Per Tahun)" sqref="H1191" xr:uid="{00000000-0002-0000-0100-0000D6060000}">
      <formula1>0</formula1>
      <formula2>IF(H1050="Tidak ada",0,25000)</formula2>
    </dataValidation>
    <dataValidation type="decimal" operator="lessThanOrEqual" allowBlank="1" showInputMessage="1" showErrorMessage="1" error="Tidak Tedapat Tambang_x000a_Diisi 0 (NOL)" promptTitle="Luas Tambang Tanah Liat" prompt="(Dalam Satuan Luas Ha)_x000a_1 Km2 = 100 Ha" sqref="H349" xr:uid="{00000000-0002-0000-0100-0000D7060000}">
      <formula1>IF(H348="Tidak Ada",0,25000)</formula1>
    </dataValidation>
    <dataValidation allowBlank="1" showInputMessage="1" showErrorMessage="1" promptTitle="Pihak Kelola Perkebunan Tebu" prompt="Sebutkan_x000a_" sqref="H455" xr:uid="{00000000-0002-0000-0100-0000D9060000}"/>
    <dataValidation type="textLength" operator="lessThanOrEqual" allowBlank="1" showInputMessage="1" showErrorMessage="1" promptTitle="Wkt Tempuh Ktr Desa ke Ktr Camat" prompt="diisi dalam ( ) Jam ( ) Menit_x000a__x000a_Contoh:_x000a_1 Jam 20 Menit_x000a_0 Jam 47 Menit" sqref="H1698" xr:uid="{00000000-0002-0000-0100-0000DA060000}">
      <formula1>16</formula1>
    </dataValidation>
    <dataValidation type="whole" allowBlank="1" showInputMessage="1" showErrorMessage="1" error="Tidak Terdapat Konflik" promptTitle="Jlh Kejadian Konfik" prompt="Antar Kelompok Masyarakat_x000a_(Kasus)" sqref="H812" xr:uid="{00000000-0002-0000-0100-0000DB060000}">
      <formula1>0</formula1>
      <formula2>IF(H804=0,0,50)</formula2>
    </dataValidation>
    <dataValidation type="whole" operator="lessThanOrEqual" allowBlank="1" showInputMessage="1" showErrorMessage="1" error="Tidak Terdapat Wisata Taman,_x000a_Diisi 0 (Nol)" promptTitle="Jlh Naker Desa Wisata Taman" prompt="Isi dengan Angka" sqref="H195" xr:uid="{00000000-0002-0000-0100-0000DD060000}">
      <formula1>IF(H189="tidak ada",0,10000)</formula1>
    </dataValidation>
    <dataValidation type="decimal" allowBlank="1" showInputMessage="1" showErrorMessage="1" error="Tidak Terdapat Produk Unggulan,_x000a_Diisi 0 (Nol)" promptTitle="Luas Lahan Tanaman " prompt="(Dalam Satuan Luas Ha)_x000a_1 Km2 = 100 Ha" sqref="H1205" xr:uid="{00000000-0002-0000-0100-0000DE060000}">
      <formula1>0</formula1>
      <formula2>IF(H1038="Tidak Ada",0,25000)</formula2>
    </dataValidation>
    <dataValidation type="list" showInputMessage="1" showErrorMessage="1" promptTitle="Tempat Membuang Limbah Cair RT" prompt="Keterangan:_x000a_1 : Lubang resapan (Lubang tanah yang Tertutup)_x000a_2 : Drainase (Got/Selokan)_x000a_3 : Sungai/Saluran Irigasi/Danau/Laut_x000a_4: Lubang Tanah yang Terbuka_x000a_5: Lainnya " sqref="H912" xr:uid="{00000000-0002-0000-0100-0000DF060000}">
      <formula1>"1,2,3,4,5"</formula1>
    </dataValidation>
    <dataValidation type="decimal" allowBlank="1" showInputMessage="1" showErrorMessage="1" error="Tidak Terdapat Produk Unggulan,_x000a_Diisi 0 (Nol)" promptTitle="Luas Lahan Tanaman " prompt="(Dalam Satuan Luas Ha)_x000a_1 Km2 = 100 Ha" sqref="H1042" xr:uid="{00000000-0002-0000-0100-0000E0060000}">
      <formula1>0</formula1>
      <formula2>IF(H1038="Tidak Ada",0,25000)</formula2>
    </dataValidation>
    <dataValidation type="list" showInputMessage="1" showErrorMessage="1" promptTitle="Sarana informasi lainnya" prompt="Desa memiliki sarana informasi lainnya_x000a_0: Tidak_x000a_1: Ya" sqref="H951" xr:uid="{00000000-0002-0000-0100-0000E1060000}">
      <formula1>"0,1"</formula1>
    </dataValidation>
    <dataValidation type="list" allowBlank="1" showInputMessage="1" showErrorMessage="1" promptTitle="Ketersediaan Jamban Rumah Tangga" prompt="Ada_x000a_Tidak Ada" sqref="H1879" xr:uid="{00000000-0002-0000-0100-0000E2060000}">
      <formula1>"Ada, Tidak Ada"</formula1>
    </dataValidation>
    <dataValidation type="whole" allowBlank="1" showInputMessage="1" showErrorMessage="1" prompt="IDM S 348.d" sqref="H1775" xr:uid="{00000000-0002-0000-0100-0000E3060000}">
      <formula1>0</formula1>
      <formula2>120</formula2>
    </dataValidation>
    <dataValidation type="whole" operator="lessThanOrEqual" allowBlank="1" showInputMessage="1" showErrorMessage="1" error="Tidak Terdapat Wisata Alam Lainnya_x000a_Diisi 0 (Nol)" promptTitle="Jlh Naker Desa Wisata lainnya" prompt="Isi dengan Angka" sqref="H173" xr:uid="{00000000-0002-0000-0100-0000E4060000}">
      <formula1>IF(H166="tidak ada",0,10000)</formula1>
    </dataValidation>
    <dataValidation type="list" allowBlank="1" showInputMessage="1" showErrorMessage="1" promptTitle="Ketersediaan SLB" prompt="0: Tidak Ada_x000a_1: Ada" sqref="H840" xr:uid="{00000000-0002-0000-0100-0000E5060000}">
      <formula1>"0,1"</formula1>
    </dataValidation>
    <dataValidation type="list" allowBlank="1" showInputMessage="1" showErrorMessage="1" promptTitle="Dampingan Wisata Kuliner" prompt="Tidak Ada_x000a_Pemerintah_x000a_BUMN_x000a_BUMD_x000a_Swasta (CSR)_x000a_Akademisi_x000a_Lainnya" sqref="H223" xr:uid="{00000000-0002-0000-0100-0000E6060000}">
      <formula1>IF(H219="tidak ada",Tidak_Ada,Pendamping_wisata)</formula1>
    </dataValidation>
    <dataValidation type="textLength" operator="greaterThan" allowBlank="1" showInputMessage="1" showErrorMessage="1" error="Diisi Nama Lengkap Petugas" promptTitle="Nama Petugas yang Mendata IDM" prompt=" " sqref="H6" xr:uid="{00000000-0002-0000-0100-0000E7060000}">
      <formula1>5</formula1>
    </dataValidation>
    <dataValidation type="whole" allowBlank="1" showInputMessage="1" showErrorMessage="1" promptTitle="Frek Kejadian Bencana" prompt="Gunung Meletus_x000a_(Kali/Tahun)" sqref="H1493" xr:uid="{00000000-0002-0000-0100-0000E8060000}">
      <formula1>0</formula1>
      <formula2>24</formula2>
    </dataValidation>
    <dataValidation type="list" showInputMessage="1" showErrorMessage="1" promptTitle="Sumber Air untuk Mandi dan Cuci" prompt="Sumber Mata Air_x000a_Keterangan_x000a_0 : Tidak_x000a_1 : Ya" sqref="H899" xr:uid="{00000000-0002-0000-0100-0000E9060000}">
      <formula1>"0,1"</formula1>
    </dataValidation>
    <dataValidation type="whole" operator="lessThanOrEqual" allowBlank="1" showInputMessage="1" showErrorMessage="1" errorTitle="PERHATIKAN JUMLAH PENDUDUK" error="CEK JUMLAH PENDUDUK DI DESA, Tidak dapat Melebihi Jumlah Penduduk._x000a_Tidak Terdapat Tambang Tembaga_x000a_(Hanya diInput Angka)" promptTitle="Jlh Naker Tambang Tembaga" prompt=" (Diisi Angka)" sqref="H312" xr:uid="{00000000-0002-0000-0100-0000EA060000}">
      <formula1>IF(H310="tidak ada",0,$H$493)</formula1>
    </dataValidation>
    <dataValidation type="decimal" allowBlank="1" showInputMessage="1" showErrorMessage="1" promptTitle="Total Produksi Panen dalam 1 Thn" prompt="Sebutkan (Ton Per Tahun)" sqref="H1090" xr:uid="{00000000-0002-0000-0100-0000EB060000}">
      <formula1>0</formula1>
      <formula2>IF(H1038="Tidak ada",0,25000)</formula2>
    </dataValidation>
    <dataValidation type="whole" allowBlank="1" showInputMessage="1" showErrorMessage="1" promptTitle="Jlh Warga Ikut Musyawarah Desa" prompt="Jumlah Warga ikut partisipasi musyawarah desa" sqref="H760" xr:uid="{00000000-0002-0000-0100-0000EC060000}">
      <formula1>0</formula1>
      <formula2>IF(H759=0,0,100)</formula2>
    </dataValidation>
    <dataValidation type="list" showInputMessage="1" showErrorMessage="1" promptTitle="Kondisi Ruang Publik di Desa" prompt="Keterangan:_x000a_1 :Baik Terawat_x000a_2 : Kurang Terawat_x000a_3 : Tidak Terawat_x000a_4 : Tidak Ada Ruang Terbuka Publik" sqref="H735" xr:uid="{00000000-0002-0000-0100-0000ED060000}">
      <formula1>IF($H$734=0,tdk_rpublik,Rpublik)</formula1>
    </dataValidation>
    <dataValidation type="whole" allowBlank="1" showInputMessage="1" showErrorMessage="1" error="Tidak Terdapat Konflik" promptTitle="Jlh Kejadian Konfik" prompt="Antar Agama_x000a_(Kasus)" sqref="H811" xr:uid="{00000000-0002-0000-0100-0000EE060000}">
      <formula1>0</formula1>
      <formula2>IF(H804=0,0,50)</formula2>
    </dataValidation>
    <dataValidation allowBlank="1" showInputMessage="1" showErrorMessage="1" promptTitle="Tersedia Layanan Tenaga Ksehatan" prompt="1: Tidak Tersedia_x000a_5: Tersedia_x000a_(IDM S 314.a)" sqref="H1861" xr:uid="{00000000-0002-0000-0100-0000EF060000}"/>
    <dataValidation type="decimal" allowBlank="1" showInputMessage="1" showErrorMessage="1" promptTitle="Luas Lahan Tanaman Pangan" prompt="(Dalam Satuan Luas Ha)_x000a_1 Km2 = 100 Ha" sqref="H965" xr:uid="{00000000-0002-0000-0100-0000F0060000}">
      <formula1>0</formula1>
      <formula2>IF(H960="tidak ada",0,25000)</formula2>
    </dataValidation>
    <dataValidation type="list" allowBlank="1" showInputMessage="1" showErrorMessage="1" promptTitle="Transp Pustu/Poskesdes/Polindes" prompt="Ada_x000a_Tidak Ada" sqref="H1814" xr:uid="{00000000-0002-0000-0100-0000F1060000}">
      <formula1>"Ada, Tidak Ada"</formula1>
    </dataValidation>
    <dataValidation type="list" allowBlank="1" showInputMessage="1" showErrorMessage="1" promptTitle="Terdapat Tambang Gas Alam" prompt="Ada_x000a_Tidak Ada" sqref="H272" xr:uid="{00000000-0002-0000-0100-0000F2060000}">
      <formula1>"Ada, Tidak Ada"</formula1>
    </dataValidation>
    <dataValidation type="list" allowBlank="1" showInputMessage="1" showErrorMessage="1" promptTitle="Data Input dari Template" prompt="Otomatis dari file unggah template Sunting" sqref="H659:H660" xr:uid="{00000000-0002-0000-0100-0000F3060000}">
      <formula1>"Ya, Tidak"</formula1>
    </dataValidation>
    <dataValidation type="decimal" allowBlank="1" showInputMessage="1" showErrorMessage="1" error="Tidak Terdapat Produk Unggulan,_x000a_Diisi 0 (Nol)" promptTitle="Luas Lahan Tanaman " prompt="(Dalam Satuan Luas Ha)_x000a_1 Km2 = 100 Ha" sqref="H1104" xr:uid="{00000000-0002-0000-0100-0000F4060000}">
      <formula1>0</formula1>
      <formula2>IF(H1038="Tidak Ada",0,25000)</formula2>
    </dataValidation>
    <dataValidation type="custom" operator="lessThanOrEqual" allowBlank="1" showInputMessage="1" showErrorMessage="1" errorTitle="DATA TIDAK RASIONAL" error="Jumlah KK memiliki Rumah dan KK tidak Memiliki Rumah harus LEBIH KECIL dari TOTAL KK di Desa" promptTitle="Jlh KK yg Tidak Memiliki Rumah" prompt="Input Dengan Angka" sqref="H876" xr:uid="{00000000-0002-0000-0100-0000F5060000}">
      <formula1>($H$875+$H$876)&lt;=$H$499</formula1>
    </dataValidation>
    <dataValidation type="list" showInputMessage="1" showErrorMessage="1" promptTitle="Tersedia BTS" prompt="0: Tidak Ada_x000a_1: Ya" sqref="H953" xr:uid="{00000000-0002-0000-0100-0000F6060000}">
      <formula1>"0,1"</formula1>
    </dataValidation>
    <dataValidation type="whole" allowBlank="1" showInputMessage="1" showErrorMessage="1" error="Tidak terdapat kelompok/ Organisasi/ Lembaga Usaha Ternak._x000a_Max 24 kali/tahun" promptTitle="Jlh Frek Lemb/Kel/Orgn U Ternak" prompt="(Kali/Thn)" sqref="H751" xr:uid="{00000000-0002-0000-0100-0000F8060000}">
      <formula1>0</formula1>
      <formula2>IF(H750=0,0,24)</formula2>
    </dataValidation>
    <dataValidation type="whole" operator="lessThanOrEqual" allowBlank="1" showInputMessage="1" showErrorMessage="1" promptTitle="Jlh Perahu Bantuan Pemerintah" prompt="(Unit)" sqref="H488" xr:uid="{00000000-0002-0000-0100-0000F9060000}">
      <formula1>10000</formula1>
    </dataValidation>
    <dataValidation type="decimal" allowBlank="1" showInputMessage="1" showErrorMessage="1" error="Tidak Terdapat Produk Unggulan,_x000a_Diisi 0 (Nol)" promptTitle="Luas Lahan Tanaman " prompt="(Dalam Satuan Luas Ha)_x000a_1 Km2 = 100 Ha" sqref="H1128" xr:uid="{00000000-0002-0000-0100-0000FA060000}">
      <formula1>0</formula1>
      <formula2>IF(H1038="Tidak Ada",0,25000)</formula2>
    </dataValidation>
    <dataValidation allowBlank="1" showInputMessage="1" showErrorMessage="1" promptTitle="Jenis Tambang Golongan B Lainnya" prompt="Sebutkan_x000a_" sqref="H335" xr:uid="{00000000-0002-0000-0100-0000FB060000}"/>
    <dataValidation type="list" allowBlank="1" showInputMessage="1" showErrorMessage="1" promptTitle="Status kelola Tambang Perak" prompt="Tidak Ada_x000a_Pemerintah_x000a_BUMN_x000a_BUMD_x000a_Swasta_x000a_Perorangan_x000a_Lainnya" sqref="H332" xr:uid="{00000000-0002-0000-0100-0000FC060000}">
      <formula1>IF($H328="tidak ada",Tidak_Ada,Tambang)</formula1>
    </dataValidation>
    <dataValidation type="whole" operator="lessThanOrEqual" allowBlank="1" showInputMessage="1" showErrorMessage="1" promptTitle="Jlh Guru RA" prompt=" " sqref="H721" xr:uid="{00000000-0002-0000-0100-0000FD060000}">
      <formula1>30</formula1>
    </dataValidation>
    <dataValidation allowBlank="1" showInputMessage="1" showErrorMessage="1" promptTitle="Pihak Kelola Tambang Belerang" prompt="Sebutkan_x000a_" sqref="H321" xr:uid="{00000000-0002-0000-0100-0000FF060000}"/>
    <dataValidation allowBlank="1" showInputMessage="1" showErrorMessage="1" promptTitle="Persentase Keanggotaan BPJS" prompt="1: 0 - 20%_x000a_2: &gt;20 - 40%_x000a_3: &gt;40 - 60%_x000a_4: &gt;60 - 80%_x000a_5: &gt;80 - 100%" sqref="H1874" xr:uid="{00000000-0002-0000-0100-000000070000}"/>
    <dataValidation type="whole" operator="lessThanOrEqual" allowBlank="1" showInputMessage="1" showErrorMessage="1" errorTitle="PERHATIKAN JUMLAH PENDUDUK" error="CEK JUMLAH PENDUDUK DI DESA, Tidak dapat Melebihi Jumlah Penduduk. Tidak Terdapat Tambang Batu Kerikil_x000a_(Hanya diInput Angka)" promptTitle="Jlh Naker Lokal Tambang Kerikil" prompt=" (Diisi Angka)" sqref="H369" xr:uid="{00000000-0002-0000-0100-000001070000}">
      <formula1>IF(H366="tidak ada",0,$H$493)</formula1>
    </dataValidation>
    <dataValidation type="list" allowBlank="1" showInputMessage="1" showErrorMessage="1" promptTitle="Unggulan 1 Buah Pasar Ekspor" prompt="-, Buah Lainnya, Jeruk Loka, Mangga Lokal, Tomat, Semangka, Jeruk Nipis, Jeruk Lemon, Jeruk Bali, Mangga Manalagi, Mangga Alpukat, Mangga Harum Manis, Mangga Gedonggincu, Mangga Malibu, Mangga Apel, Melon, Stroberi, Rambutan, Pepaya, Jambu, Pisang, Nanas," sqref="H1310" xr:uid="{00000000-0002-0000-0100-000002070000}">
      <formula1>$K$1038:$K$1070</formula1>
    </dataValidation>
    <dataValidation type="list" allowBlank="1" showInputMessage="1" showErrorMessage="1" promptTitle="Adminsitrasi Pembangunan desa" prompt="Sudah_x000a_Belum" sqref="H2175" xr:uid="{00000000-0002-0000-0100-000003070000}">
      <formula1>"Sudah, Belum"</formula1>
    </dataValidation>
    <dataValidation type="list" allowBlank="1" showInputMessage="1" showErrorMessage="1" promptTitle="Desa Bersih Narkoba" prompt="Ya_x000a_Tidak" sqref="H98" xr:uid="{00000000-0002-0000-0100-000004070000}">
      <formula1>"Ya, Tidak"</formula1>
    </dataValidation>
    <dataValidation type="decimal" operator="lessThanOrEqual" allowBlank="1" showInputMessage="1" showErrorMessage="1" error="Tidak Tedapat Tambang Belerang_x000a_Diisi 0 (NOL)" promptTitle="Luas Tambang Belerang" prompt="(Dalam Satuan Luas Ha)_x000a_1 Km2 = 100 Ha" sqref="H317" xr:uid="{00000000-0002-0000-0100-000005070000}">
      <formula1>IF(H316="Tidak Ada",0,25000)</formula1>
    </dataValidation>
    <dataValidation type="decimal" operator="greaterThanOrEqual" allowBlank="1" showInputMessage="1" showErrorMessage="1" promptTitle="Jrk Ktr Desa ke Kantor Gubernur" prompt="Jarak Diukur dari Kantor Desa ke Kantor Gubernur" sqref="H1707" xr:uid="{00000000-0002-0000-0100-000006070000}">
      <formula1>0</formula1>
    </dataValidation>
    <dataValidation allowBlank="1" showInputMessage="1" showErrorMessage="1" prompt="IDM 107.b" sqref="H1713" xr:uid="{00000000-0002-0000-0100-000007070000}"/>
    <dataValidation type="list" allowBlank="1" showInputMessage="1" showErrorMessage="1" promptTitle="Jenis Kelamin Informan" prompt="1. Laki- Laki_x000a_2. Perempuan" sqref="H18" xr:uid="{00000000-0002-0000-0100-000008070000}">
      <formula1>"1, 2"</formula1>
    </dataValidation>
    <dataValidation allowBlank="1" showInputMessage="1" showErrorMessage="1" promptTitle="Terdapat Rumah Tidak Layak Huni" prompt="Ada_x000a_Tidak Ada" sqref="H1925" xr:uid="{00000000-0002-0000-0100-000009070000}"/>
    <dataValidation allowBlank="1" showInputMessage="1" showErrorMessage="1" promptTitle="Jarak (Meter) ke Penginapan" prompt="(Diisi Angka)_x000a_IDM E 523.b" sqref="H2049" xr:uid="{00000000-0002-0000-0100-00000A070000}"/>
    <dataValidation type="list" showInputMessage="1" showErrorMessage="1" promptTitle="Tdapat Bumdesa Bid Jasa" prompt="Terdapat Bumdesa Bisinis Sosial Bidang Jasa _x000a_0: Tidak Ada_x000a_1: Ada" sqref="H1408" xr:uid="{00000000-0002-0000-0100-00000B070000}">
      <formula1>IF($H$1404=0,Tidak_tersedia,Tersedia)</formula1>
    </dataValidation>
    <dataValidation operator="greaterThanOrEqual" showInputMessage="1" showErrorMessage="1" promptTitle="Bencana Lainnya" prompt="Sebutkan Bencana Lainnya" sqref="H1496" xr:uid="{00000000-0002-0000-0100-00000C070000}"/>
    <dataValidation type="custom" operator="greaterThanOrEqual" allowBlank="1" showInputMessage="1" showErrorMessage="1" errorTitle="JLH PENDUDUK pd BIDANG PEKERJAAN" error="Total pendudukn Berdasarkan PEKERJAAN Harus LEBIH KECIL dari TOTAL PENDUDUK di Desa" promptTitle="Jumlah Pekerjaan Dokter" prompt="Jumlah Pekerja Dokter Laki-Laki" sqref="H529" xr:uid="{00000000-0002-0000-0100-00000D070000}">
      <formula1>($H$511+$H$512+$H$513+$H$514+$H$515+$H$516+$H$517+$H$518+$H$519+$H$520+$H$521+$H$522+$H$523+$H$524+$H$525+$H$526+$H$527+$H$528+$H$529+$H$530+$H$531+$H$532+$H$533+$H$534+$H$535)&lt;=$H$493</formula1>
    </dataValidation>
    <dataValidation type="custom" operator="greaterThanOrEqual" allowBlank="1" showInputMessage="1" showErrorMessage="1" errorTitle="JLH PENDUDUK pd BIDANG PEKERJAAN" error="Total pendudukn Berdasarkan PEKERJAAN Harus LEBIH KECIL dari TOTAL PENDUDUK di Desa" promptTitle="Jumlah Pekerjaan Polri" prompt="Jumlah Pekerja Polri Laki-Laki" sqref="H527" xr:uid="{00000000-0002-0000-0100-00000E070000}">
      <formula1>($H$511+$H$512+$H$513+$H$514+$H$515+$H$516+$H$517+$H$518+$H$519+$H$520+$H$521+$H$522+$H$523+$H$524+$H$525+$H$526+$H$527+$H$528+$H$529+$H$530+$H$531+$H$532+$H$533+$H$534+$H$535)&lt;=$H$493</formula1>
    </dataValidation>
    <dataValidation allowBlank="1" showInputMessage="1" showErrorMessage="1" promptTitle="Pihak Kelola Tambang BatuKerikil" prompt="Sebutkan_x000a_" sqref="H371" xr:uid="{00000000-0002-0000-0100-00000F070000}"/>
    <dataValidation type="list" allowBlank="1" showInputMessage="1" showErrorMessage="1" promptTitle="Hari Operasional Taman Baca" prompt="1: Tidak beroperasi_x000a_2: Beroperasi selama 1 hari_x000a_3: Beroperasi selama 2-3 hari_x000a_4: Beroperasi selama 4-5 hari_x000a_5: Beroperasi selama 6-7 hari" sqref="H1984" xr:uid="{00000000-0002-0000-0100-000010070000}">
      <formula1>IF($H$1983=1,Non_listrik,Perpustakaan)</formula1>
    </dataValidation>
    <dataValidation type="decimal" allowBlank="1" showInputMessage="1" showErrorMessage="1" promptTitle="Total Produksi Panen dalam 1 Thn" prompt="Sebutkan (Ton Per Tahun)" sqref="H1078" xr:uid="{00000000-0002-0000-0100-000011070000}">
      <formula1>0</formula1>
      <formula2>IF(H1050="Tidak ada",0,25000)</formula2>
    </dataValidation>
    <dataValidation allowBlank="1" showInputMessage="1" showErrorMessage="1" promptTitle="Nama Wisata Buatan Lainnya" prompt="Sebutkan" sqref="H197" xr:uid="{00000000-0002-0000-0100-000012070000}"/>
    <dataValidation type="list" allowBlank="1" showInputMessage="1" showErrorMessage="1" promptTitle="Perahu Layanan Nakes" prompt="Ada_x000a_Tidak Ada" sqref="H1870" xr:uid="{00000000-0002-0000-0100-000013070000}">
      <formula1>IF($H$155=1,Tidak_Ada,Ada)</formula1>
    </dataValidation>
    <dataValidation allowBlank="1" showInputMessage="1" showErrorMessage="1" prompt="IDM S 346.a" sqref="H1747" xr:uid="{00000000-0002-0000-0100-000014070000}"/>
    <dataValidation allowBlank="1" showInputMessage="1" showErrorMessage="1" promptTitle="Naik/Turun Produk Komoditi Tani" prompt="(Sebutkan)" sqref="H1331" xr:uid="{00000000-0002-0000-0100-000015070000}"/>
    <dataValidation type="whole" operator="lessThanOrEqual" allowBlank="1" showInputMessage="1" showErrorMessage="1" sqref="H1731" xr:uid="{00000000-0002-0000-0100-000016070000}">
      <formula1>H1720</formula1>
    </dataValidation>
    <dataValidation type="whole" operator="lessThanOrEqual" allowBlank="1" showInputMessage="1" showErrorMessage="1" promptTitle="Total Tenaga Kerja Bumdes" prompt=" " sqref="H1452" xr:uid="{00000000-0002-0000-0100-000017070000}">
      <formula1>100</formula1>
    </dataValidation>
    <dataValidation type="whole" allowBlank="1" showInputMessage="1" showErrorMessage="1" error="Tidak Tersedia Layanan Dokter" promptTitle="Jumlah Dokter Praktek di Desa" prompt="Input Menggunakan Angka" sqref="H590" xr:uid="{00000000-0002-0000-0100-000018070000}">
      <formula1>0</formula1>
      <formula2>IF(H589=0,0,10)</formula2>
    </dataValidation>
    <dataValidation type="list" allowBlank="1" showInputMessage="1" showErrorMessage="1" promptTitle="Bencana Luar Biasa" prompt="Ada_x000a_Tidak Ada" sqref="H2110" xr:uid="{00000000-0002-0000-0100-000019070000}">
      <formula1>"Ada, Tidak Ada"</formula1>
    </dataValidation>
    <dataValidation type="list" showInputMessage="1" showErrorMessage="1" promptTitle="Papan informasi" prompt="Desa memiliki Papan Informasi Terkait Desa_x000a_0: Tidak_x000a_1: Ya" sqref="H949" xr:uid="{00000000-0002-0000-0100-00001A070000}">
      <formula1>"0,1"</formula1>
    </dataValidation>
    <dataValidation type="list" allowBlank="1" showInputMessage="1" showErrorMessage="1" promptTitle="Terdapat Perkebunan Teh" prompt="Ada_x000a_Tidak Ada" sqref="H434" xr:uid="{00000000-0002-0000-0100-00001B070000}">
      <formula1>"Ada, Tidak Ada"</formula1>
    </dataValidation>
    <dataValidation type="list" allowBlank="1" showInputMessage="1" showErrorMessage="1" promptTitle="Produk Unggulan Kacang Hijau" prompt="Ada_x000a_Tidak Ada" sqref="H976" xr:uid="{00000000-0002-0000-0100-00001C070000}">
      <formula1>"Ada, Tidak Ada"</formula1>
    </dataValidation>
    <dataValidation type="textLength" operator="greaterThanOrEqual" allowBlank="1" showInputMessage="1" showErrorMessage="1" error="Diisi Nama Lengkap" promptTitle="Nama Lengkap Informan" prompt=" " sqref="H13" xr:uid="{00000000-0002-0000-0100-00001D070000}">
      <formula1>3</formula1>
    </dataValidation>
    <dataValidation allowBlank="1" showInputMessage="1" showErrorMessage="1" promptTitle="Kejadian Bencana" prompt="Ada_x000a_Tidak Ada_x000a_(IDM L 508.e)" sqref="H2105" xr:uid="{00000000-0002-0000-0100-00001E070000}"/>
    <dataValidation allowBlank="1" showInputMessage="1" showErrorMessage="1" promptTitle="Kemudahan Akses ke Kedai/RM" prompt="1: Sangat sulit_x000a_2: Sulit_x000a_3: Sedang_x000a_4: Mudah_x000a_5: Sangat Mudah" sqref="H2045" xr:uid="{00000000-0002-0000-0100-00001F070000}"/>
    <dataValidation type="whole" allowBlank="1" showInputMessage="1" showErrorMessage="1" error="Tidak Terdapat Kelompok/ Organisasi/ Lembaga Pengrajin._x000a_Max 24 kali/tahun" promptTitle="Jlh Frek Kel/Org/Lemb Pengrajin" prompt="(Kali/Thn)" sqref="H753" xr:uid="{00000000-0002-0000-0100-000020070000}">
      <formula1>0</formula1>
      <formula2>IF(H752=0,0,24)</formula2>
    </dataValidation>
    <dataValidation type="decimal" operator="lessThanOrEqual" allowBlank="1" showInputMessage="1" showErrorMessage="1" promptTitle="Jarak Prakter Dokter Terdekat" prompt="(Meter)" sqref="H575" xr:uid="{00000000-0002-0000-0100-000021070000}">
      <formula1>300000</formula1>
    </dataValidation>
    <dataValidation allowBlank="1" showInputMessage="1" showErrorMessage="1" promptTitle="Sumber Listrik Energi Microhydro" prompt="Ada_x000a_Tidak Ada_x000a_(IDM S 399.f)" sqref="H1911" xr:uid="{00000000-0002-0000-0100-000022070000}"/>
    <dataValidation type="list" showInputMessage="1" showErrorMessage="1" promptTitle="Tdapat Bumdesa Keuangan" prompt="Terdapat Bumdesa Keuangan Bidang Mikro Finance_x000a_0: Tidak Ada_x000a_1: Ada" sqref="H1425" xr:uid="{00000000-0002-0000-0100-000023070000}">
      <formula1>IF($H$1422=0,Tidak_tersedia,Tersedia)</formula1>
    </dataValidation>
    <dataValidation type="whole" allowBlank="1" showInputMessage="1" showErrorMessage="1" error="Tidak terdapat konflik" promptTitle="Jlh Kejadian Konfik" prompt="Antar Suku_x000a_(Kasus)" sqref="H810" xr:uid="{00000000-0002-0000-0100-000024070000}">
      <formula1>0</formula1>
      <formula2>IF(H804=0,0,50)</formula2>
    </dataValidation>
    <dataValidation type="decimal" allowBlank="1" showInputMessage="1" showErrorMessage="1" promptTitle="Luas Lahan Tanaman Kentang" prompt="(Dalam Satuan Luas Ha)_x000a_1 Km2 = 100 Ha" sqref="H1009" xr:uid="{00000000-0002-0000-0100-000025070000}">
      <formula1>0</formula1>
      <formula2>IF(H1008="tidak ada",0,25000)</formula2>
    </dataValidation>
    <dataValidation type="list" showInputMessage="1" showErrorMessage="1" promptTitle="Tdapat Bumdesa Perantara" prompt="Terdapat Bumdesa Perantara Bidang Percetakan_x000a_0: Tidak Ada_x000a_1: Ada" sqref="H1435" xr:uid="{00000000-0002-0000-0100-000026070000}">
      <formula1>IF($H$1431=0,Tidak_tersedia,Tersedia)</formula1>
    </dataValidation>
    <dataValidation allowBlank="1" showInputMessage="1" showErrorMessage="1" promptTitle="Pihak Kelola Perkebunan Lainnya" prompt="Sebutkan_x000a_" sqref="H474" xr:uid="{00000000-0002-0000-0100-000027070000}"/>
    <dataValidation type="date" operator="greaterThanOrEqual" allowBlank="1" showInputMessage="1" showErrorMessage="1" promptTitle="Tanggal Isi Kuisioner" prompt="MM/DD/YYYY_x000a_Bulan/Tanggal/Tahun_x000a_Contoh:_x000a_3/14/2023 --&gt; (14 Maret 2023)" sqref="H17" xr:uid="{00000000-0002-0000-0100-000028070000}">
      <formula1>16438</formula1>
    </dataValidation>
    <dataValidation type="whole" allowBlank="1" showInputMessage="1" showErrorMessage="1" promptTitle="Jlh Fasilitas Lap Basket" prompt="(Unit)" sqref="H771" xr:uid="{00000000-0002-0000-0100-000029070000}">
      <formula1>0</formula1>
      <formula2>10</formula2>
    </dataValidation>
    <dataValidation type="decimal" operator="lessThanOrEqual" allowBlank="1" showInputMessage="1" showErrorMessage="1" promptTitle="Jarak Apotik Terdekat" prompt="(Meter)" sqref="H583" xr:uid="{00000000-0002-0000-0100-00002C070000}">
      <formula1>300000</formula1>
    </dataValidation>
    <dataValidation type="list" allowBlank="1" showInputMessage="1" showErrorMessage="1" promptTitle="Terdapat Kelompok Lembaga Tani?" prompt="Keterangan: _x000a_0 : Tidak Ada_x000a_1 : Ada" sqref="H746" xr:uid="{00000000-0002-0000-0100-00002D070000}">
      <formula1>"0,1"</formula1>
    </dataValidation>
    <dataValidation type="list" allowBlank="1" showInputMessage="1" showErrorMessage="1" promptTitle="Terdapat Perkebunan Kakao" prompt="Ada_x000a_Tidak Ada" sqref="H416" xr:uid="{00000000-0002-0000-0100-00002E070000}">
      <formula1>"Ada, Tidak Ada"</formula1>
    </dataValidation>
    <dataValidation type="list" allowBlank="1" showInputMessage="1" showErrorMessage="1" promptTitle="Pdampingan Pberdayaan Masyarakat" prompt="0: Tidak Ada_x000a_1: Ada" sqref="H1522" xr:uid="{00000000-0002-0000-0100-000030070000}">
      <formula1>"0,1"</formula1>
    </dataValidation>
    <dataValidation allowBlank="1" showInputMessage="1" showErrorMessage="1" promptTitle="Jlh Energi Terbarukan dipakai" prompt="Terhitung Secata Otomatis" sqref="H925" xr:uid="{00000000-0002-0000-0100-000031070000}"/>
    <dataValidation type="whole" allowBlank="1" showInputMessage="1" showErrorMessage="1" prompt="IDM S 346.d" sqref="H1751" xr:uid="{00000000-0002-0000-0100-000032070000}">
      <formula1>0</formula1>
      <formula2>100</formula2>
    </dataValidation>
    <dataValidation type="whole" operator="greaterThanOrEqual" allowBlank="1" showInputMessage="1" showErrorMessage="1" promptTitle="Bantuan Kab/Kota Tahun 2023" prompt=" " sqref="H1605" xr:uid="{00000000-0002-0000-0100-000033070000}">
      <formula1>0</formula1>
    </dataValidation>
    <dataValidation type="list" allowBlank="1" showInputMessage="1" showErrorMessage="1" promptTitle="Pendampingan Bidang Ekonomi" prompt="0: Tidak Ada_x000a_1: Ada" sqref="H1521" xr:uid="{00000000-0002-0000-0100-000036070000}">
      <formula1>"0,1"</formula1>
    </dataValidation>
    <dataValidation type="whole" allowBlank="1" showInputMessage="1" showErrorMessage="1" errorTitle="CEK KONFLIK DI DESA 1 TAHUN" error="Batas isian Max 100 Kasus/tahun_x000a_Jika dalm 1 Tahun Terakhir TIDAK ADA konflik di Desa. Diisi angka 0 (NOL)" prompt="IDM S 376.c" sqref="H1959" xr:uid="{00000000-0002-0000-0100-000037070000}">
      <formula1>0</formula1>
      <formula2>IF($H$244="Ada",100,0)</formula2>
    </dataValidation>
    <dataValidation type="list" allowBlank="1" showInputMessage="1" showErrorMessage="1" promptTitle="Adanya PMKS Anak Jalanan" prompt="Keterangan:_x000a_0 : Tidak Ada_x000a_1 : Ada" sqref="H855" xr:uid="{00000000-0002-0000-0100-000038070000}">
      <formula1>"0,1"</formula1>
    </dataValidation>
    <dataValidation type="list" allowBlank="1" showInputMessage="1" showErrorMessage="1" promptTitle="Transportasi ke Mitigasi Bencana" prompt="Ada_x000a_Tidak Ada" sqref="H2115" xr:uid="{00000000-0002-0000-0100-000039070000}">
      <formula1>"Ada, Tidak Ada"</formula1>
    </dataValidation>
    <dataValidation type="whole" allowBlank="1" showInputMessage="1" showErrorMessage="1" promptTitle="Waktu Tempuh (Menit) ke Pasar" prompt="(Diisi Angka)" sqref="H2030" xr:uid="{00000000-0002-0000-0100-00003A070000}">
      <formula1>0</formula1>
      <formula2>180</formula2>
    </dataValidation>
    <dataValidation type="list" allowBlank="1" showInputMessage="1" showErrorMessage="1" promptTitle="Buku KTP dan KK" prompt="Diisi_x000a_Tidak Diisi" sqref="H2166" xr:uid="{00000000-0002-0000-0100-00003B070000}">
      <formula1>IF($H$2160="Belum",Tidak_Diisi,Diisi)</formula1>
    </dataValidation>
    <dataValidation type="decimal" operator="lessThanOrEqual" allowBlank="1" showInputMessage="1" showErrorMessage="1" error="Tidak Tedapat Tambang Batu Kali_x000a_Diisi 0 (NOL)" promptTitle="Luas Tambang Batu Kali" prompt="(Dalam Satuan Luas Ha)_x000a_1 Km2 = 100 Ha" sqref="H373" xr:uid="{00000000-0002-0000-0100-00003C070000}">
      <formula1>IF(H372="Tidak Ada",0,25000)</formula1>
    </dataValidation>
    <dataValidation type="list" allowBlank="1" showInputMessage="1" showErrorMessage="1" promptTitle="Terdapat Wisata Budaya Lainnya" prompt="Ada_x000a_Tidak Ada" sqref="H233" xr:uid="{00000000-0002-0000-0100-00003D070000}">
      <formula1>"Ada, Tidak Ada"</formula1>
    </dataValidation>
    <dataValidation type="list" allowBlank="1" showInputMessage="1" showErrorMessage="1" promptTitle="Keterlibatan Pendidikan Kursus" prompt="1: Tidak aktif_x000a_3: Melibatkan sebagian kecil/&lt;50% angkatan kerja yang tidak bekerja di desa_x000a_5: Melibatkan sebagian besar/≥50% angkatan kerja yang tidak bekerja di desa" sqref="H2024" xr:uid="{00000000-0002-0000-0100-00003E070000}">
      <formula1>"1,3,5"</formula1>
    </dataValidation>
    <dataValidation type="list" showInputMessage="1" showErrorMessage="1" promptTitle="Ketersediaan Angkutan Umum" prompt="Angkutan umum utama di Desa beroperasi setiap hari_x000a_1: Ada, Trayek Tetap_x000a_2: Ada, Tanpa Trayek Tetap_x000a_3: Tidak Ada Angkutan Umum" sqref="H1463" xr:uid="{00000000-0002-0000-0100-000040070000}">
      <formula1>"1,2,3"</formula1>
    </dataValidation>
    <dataValidation type="list" allowBlank="1" showInputMessage="1" showErrorMessage="1" prompt="Fasilitas Layanan Kredit KUK - 1. Ada_x000a_0. Tidak Ada" sqref="I2058" xr:uid="{00000000-0002-0000-0100-000041070000}">
      <formula1>"1,0"</formula1>
    </dataValidation>
    <dataValidation type="decimal" allowBlank="1" showInputMessage="1" showErrorMessage="1" prompt="Jumlah Kegiatan Pemberdayaan - (Diisi Angka)" sqref="I2240:I2243 I2215 I2209:I2210" xr:uid="{00000000-0002-0000-0100-000042070000}">
      <formula1>0</formula1>
      <formula2>24</formula2>
    </dataValidation>
    <dataValidation type="list" allowBlank="1" showInputMessage="1" showErrorMessage="1" prompt="Teknologi utk Keperluan Lainnya - 1. Sudah_x000a_0. Belum" sqref="I2251" xr:uid="{00000000-0002-0000-0100-000044070000}">
      <formula1>"1,0"</formula1>
    </dataValidation>
    <dataValidation type="list" allowBlank="1" showInputMessage="1" showErrorMessage="1" prompt="Terdapat Konflik Di Desa - 1. Tidak Ada_x000a_0. Ada" sqref="I1955" xr:uid="{00000000-0002-0000-0100-000045070000}">
      <formula1>"1,0"</formula1>
    </dataValidation>
    <dataValidation type="decimal" allowBlank="1" showInputMessage="1" showErrorMessage="1" prompt="Jumlah Kasus Konflik Di Desa - (Diisi Angka)" sqref="I1957 I1959" xr:uid="{00000000-0002-0000-0100-000047070000}">
      <formula1>0</formula1>
      <formula2>12</formula2>
    </dataValidation>
    <dataValidation type="list" allowBlank="1" showInputMessage="1" showErrorMessage="1" prompt="Jenis Pelayanan Transportasi - 2. Berbayar_x000a_1. Tidak Berbayar" sqref="I1842 I1872 I1860" xr:uid="{00000000-0002-0000-0100-000048070000}">
      <formula1>"2,1"</formula1>
    </dataValidation>
    <dataValidation type="decimal" allowBlank="1" showErrorMessage="1" sqref="I2244" xr:uid="{00000000-0002-0000-0100-00004B070000}">
      <formula1>0</formula1>
      <formula2>24</formula2>
    </dataValidation>
  </dataValidations>
  <pageMargins left="0.7" right="0.7" top="0.75" bottom="0.75" header="0.3" footer="0.3"/>
  <pageSetup paperSize="9" scale="36" fitToHeight="0" orientation="portrait" r:id="rId1"/>
  <ignoredErrors>
    <ignoredError sqref="J598 J599 J1329 J1330 J1331 J1332 J1496 J18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38</vt:i4>
      </vt:variant>
    </vt:vector>
  </HeadingPairs>
  <TitlesOfParts>
    <vt:vector size="40" baseType="lpstr">
      <vt:lpstr>PERSETUJUAN</vt:lpstr>
      <vt:lpstr>INPUTAN DESA ....</vt:lpstr>
      <vt:lpstr>Ada</vt:lpstr>
      <vt:lpstr>Ada_goroyong</vt:lpstr>
      <vt:lpstr>Ada_listrik</vt:lpstr>
      <vt:lpstr>Aktivitas_posyandu1</vt:lpstr>
      <vt:lpstr>Aktivitas_Posyandu5</vt:lpstr>
      <vt:lpstr>Berat</vt:lpstr>
      <vt:lpstr>BPJS</vt:lpstr>
      <vt:lpstr>damai</vt:lpstr>
      <vt:lpstr>Diisi</vt:lpstr>
      <vt:lpstr>hasil_laut</vt:lpstr>
      <vt:lpstr>Jabatan_petugas</vt:lpstr>
      <vt:lpstr>Jalan_Baik</vt:lpstr>
      <vt:lpstr>Jalan_rusak</vt:lpstr>
      <vt:lpstr>kebun</vt:lpstr>
      <vt:lpstr>Laut</vt:lpstr>
      <vt:lpstr>Non_listrik</vt:lpstr>
      <vt:lpstr>OK</vt:lpstr>
      <vt:lpstr>OR</vt:lpstr>
      <vt:lpstr>Pasar</vt:lpstr>
      <vt:lpstr>Pendamping</vt:lpstr>
      <vt:lpstr>Pendamping_wisata</vt:lpstr>
      <vt:lpstr>Pengelola_wisata</vt:lpstr>
      <vt:lpstr>Perpustakaan</vt:lpstr>
      <vt:lpstr>Rpublik</vt:lpstr>
      <vt:lpstr>Ruang_publik</vt:lpstr>
      <vt:lpstr>Sedang</vt:lpstr>
      <vt:lpstr>Septi_tank1</vt:lpstr>
      <vt:lpstr>Septic_tank5</vt:lpstr>
      <vt:lpstr>sinyal</vt:lpstr>
      <vt:lpstr>Tambang</vt:lpstr>
      <vt:lpstr>tdk_rpublik</vt:lpstr>
      <vt:lpstr>Tersedia</vt:lpstr>
      <vt:lpstr>Tidak</vt:lpstr>
      <vt:lpstr>Tidak_Ada</vt:lpstr>
      <vt:lpstr>Tidak_Diisi</vt:lpstr>
      <vt:lpstr>Tidak_tersedia</vt:lpstr>
      <vt:lpstr>wifi</vt:lpstr>
      <vt:lpstr>Ya</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yun wahi</cp:lastModifiedBy>
  <dcterms:created xsi:type="dcterms:W3CDTF">2017-09-05T02:45:55Z</dcterms:created>
  <dcterms:modified xsi:type="dcterms:W3CDTF">2024-07-09T06:53:14Z</dcterms:modified>
  <cp:category/>
</cp:coreProperties>
</file>